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codeName="ThisWorkbook" defaultThemeVersion="124226"/>
  <mc:AlternateContent xmlns:mc="http://schemas.openxmlformats.org/markup-compatibility/2006">
    <mc:Choice Requires="x15">
      <x15ac:absPath xmlns:x15ac="http://schemas.microsoft.com/office/spreadsheetml/2010/11/ac" url="C:\Users\kenanchen\OneDrive - LITE-ON TECHNOLOGY CORP\Product\GC Upgrade\LM80 &amp; TM21 Data\GCJ &amp; GCM data &amp; Calc from Geoffrey_062819\Marketing Reports\"/>
    </mc:Choice>
  </mc:AlternateContent>
  <xr:revisionPtr revIDLastSave="6" documentId="8_{87F6E1FB-C5BA-4530-BABD-C1D719173ABD}" xr6:coauthVersionLast="44" xr6:coauthVersionMax="44" xr10:uidLastSave="{812D87E1-FF3C-44C2-93C4-F5AFD75AFA36}"/>
  <workbookProtection workbookAlgorithmName="SHA-512" workbookHashValue="NsSx+6XDwJv0OEuTRTJswui+XscgyiHA/+8WprSB3T+3lRBVZt1XCd7GSqEmcPuUR+6LvUVzNFWQcYPt+zZ+dw==" workbookSaltValue="6jqgIdwYaXFxLEsfbi+bkg==" workbookSpinCount="100000" lockStructure="1"/>
  <bookViews>
    <workbookView xWindow="-120" yWindow="-120" windowWidth="29040" windowHeight="15840" tabRatio="883"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 i="7" l="1"/>
  <c r="G7" i="7" s="1"/>
  <c r="E8" i="7"/>
  <c r="H8" i="7" s="1"/>
  <c r="E9" i="7"/>
  <c r="I9" i="7" s="1"/>
  <c r="E10" i="7"/>
  <c r="I10" i="7" s="1"/>
  <c r="E11" i="7"/>
  <c r="F11" i="7" s="1"/>
  <c r="E12" i="7"/>
  <c r="I12" i="7" s="1"/>
  <c r="E13" i="7"/>
  <c r="F13" i="7" s="1"/>
  <c r="E14" i="7"/>
  <c r="I14" i="7" s="1"/>
  <c r="E15" i="7"/>
  <c r="I15" i="7" s="1"/>
  <c r="E16" i="7"/>
  <c r="I16" i="7" s="1"/>
  <c r="E17" i="7"/>
  <c r="I17" i="7" s="1"/>
  <c r="E18" i="7"/>
  <c r="I18" i="7" s="1"/>
  <c r="E19" i="7"/>
  <c r="I19" i="7" s="1"/>
  <c r="E20" i="7"/>
  <c r="J20" i="7" s="1"/>
  <c r="E21" i="7"/>
  <c r="I21" i="7" s="1"/>
  <c r="E22" i="7"/>
  <c r="F22" i="7" s="1"/>
  <c r="E23" i="7"/>
  <c r="H23" i="7" s="1"/>
  <c r="E24" i="7"/>
  <c r="J24" i="7" s="1"/>
  <c r="E25" i="7"/>
  <c r="H25" i="7" s="1"/>
  <c r="E26" i="7"/>
  <c r="I26" i="7" s="1"/>
  <c r="E27" i="7"/>
  <c r="F27" i="7" s="1"/>
  <c r="E28" i="7"/>
  <c r="F28" i="7" s="1"/>
  <c r="E29" i="7"/>
  <c r="G29" i="7" s="1"/>
  <c r="E30" i="7"/>
  <c r="G30" i="7" s="1"/>
  <c r="E31" i="7"/>
  <c r="G31" i="7" s="1"/>
  <c r="E32" i="7"/>
  <c r="I32" i="7" s="1"/>
  <c r="E33" i="7"/>
  <c r="I33" i="7" s="1"/>
  <c r="E34" i="7"/>
  <c r="I34" i="7" s="1"/>
  <c r="E35" i="7"/>
  <c r="I35" i="7" s="1"/>
  <c r="E36" i="7"/>
  <c r="H36" i="7" s="1"/>
  <c r="E37" i="7"/>
  <c r="F37" i="7" s="1"/>
  <c r="E38" i="7"/>
  <c r="H38" i="7" s="1"/>
  <c r="E39" i="7"/>
  <c r="F39" i="7" s="1"/>
  <c r="E40" i="7"/>
  <c r="H40" i="7" s="1"/>
  <c r="E41" i="7"/>
  <c r="G41" i="7" s="1"/>
  <c r="E42" i="7"/>
  <c r="F42" i="7" s="1"/>
  <c r="E43" i="7"/>
  <c r="F43" i="7" s="1"/>
  <c r="E44" i="7"/>
  <c r="H44" i="7" s="1"/>
  <c r="E45" i="7"/>
  <c r="H45" i="7" s="1"/>
  <c r="E46" i="7"/>
  <c r="I46" i="7" s="1"/>
  <c r="E47" i="7"/>
  <c r="J47" i="7" s="1"/>
  <c r="E48" i="7"/>
  <c r="H48" i="7" s="1"/>
  <c r="E49" i="7"/>
  <c r="H49" i="7" s="1"/>
  <c r="E6" i="7"/>
  <c r="H6" i="7" s="1"/>
  <c r="E7" i="6"/>
  <c r="F7" i="6" s="1"/>
  <c r="E8" i="6"/>
  <c r="I8" i="6" s="1"/>
  <c r="E9" i="6"/>
  <c r="J9" i="6" s="1"/>
  <c r="E10" i="6"/>
  <c r="E11" i="6"/>
  <c r="F11" i="6" s="1"/>
  <c r="E12" i="6"/>
  <c r="F12" i="6" s="1"/>
  <c r="E13" i="6"/>
  <c r="E14" i="6"/>
  <c r="E15" i="6"/>
  <c r="F15" i="6" s="1"/>
  <c r="G15" i="6" s="1"/>
  <c r="E16" i="6"/>
  <c r="F16" i="6" s="1"/>
  <c r="G16" i="6" s="1"/>
  <c r="E17" i="6"/>
  <c r="E18" i="6"/>
  <c r="F18" i="6" s="1"/>
  <c r="E19" i="6"/>
  <c r="E20" i="6"/>
  <c r="E21" i="6"/>
  <c r="E22" i="6"/>
  <c r="J22" i="6" s="1"/>
  <c r="E23" i="6"/>
  <c r="E24" i="6"/>
  <c r="J24" i="6" s="1"/>
  <c r="E25" i="6"/>
  <c r="G25" i="6" s="1"/>
  <c r="E26" i="6"/>
  <c r="I26" i="6" s="1"/>
  <c r="E27" i="6"/>
  <c r="I27" i="6" s="1"/>
  <c r="E28" i="6"/>
  <c r="E29" i="6"/>
  <c r="E30" i="6"/>
  <c r="I30" i="6" s="1"/>
  <c r="E31" i="6"/>
  <c r="I31" i="6" s="1"/>
  <c r="E32" i="6"/>
  <c r="E33" i="6"/>
  <c r="F33" i="6" s="1"/>
  <c r="E34" i="6"/>
  <c r="G34" i="6" s="1"/>
  <c r="E35" i="6"/>
  <c r="E36" i="6"/>
  <c r="I36" i="6" s="1"/>
  <c r="E37" i="6"/>
  <c r="G37" i="6" s="1"/>
  <c r="E38" i="6"/>
  <c r="I38" i="6" s="1"/>
  <c r="E39" i="6"/>
  <c r="J39" i="6" s="1"/>
  <c r="E40" i="6"/>
  <c r="I40" i="6" s="1"/>
  <c r="E41" i="6"/>
  <c r="G41" i="6" s="1"/>
  <c r="E42" i="6"/>
  <c r="E43" i="6"/>
  <c r="G43" i="6" s="1"/>
  <c r="E44" i="6"/>
  <c r="E45" i="6"/>
  <c r="I45" i="6" s="1"/>
  <c r="E46" i="6"/>
  <c r="E47" i="6"/>
  <c r="I47" i="6" s="1"/>
  <c r="E48" i="6"/>
  <c r="G48" i="6" s="1"/>
  <c r="E49" i="6"/>
  <c r="G49" i="6" s="1"/>
  <c r="E6" i="6"/>
  <c r="F6" i="6" s="1"/>
  <c r="E7" i="5"/>
  <c r="F7" i="5" s="1"/>
  <c r="G7" i="5" s="1"/>
  <c r="E8" i="5"/>
  <c r="J8" i="5" s="1"/>
  <c r="E9" i="5"/>
  <c r="J9" i="5" s="1"/>
  <c r="E10" i="5"/>
  <c r="E11" i="5"/>
  <c r="I11" i="5" s="1"/>
  <c r="E12" i="5"/>
  <c r="F12" i="5" s="1"/>
  <c r="G12" i="5" s="1"/>
  <c r="E13" i="5"/>
  <c r="I13" i="5" s="1"/>
  <c r="E14" i="5"/>
  <c r="E15" i="5"/>
  <c r="I15" i="5" s="1"/>
  <c r="E16" i="5"/>
  <c r="E17" i="5"/>
  <c r="E18" i="5"/>
  <c r="I18" i="5" s="1"/>
  <c r="E19" i="5"/>
  <c r="F19" i="5" s="1"/>
  <c r="G19" i="5" s="1"/>
  <c r="E20" i="5"/>
  <c r="H20" i="5" s="1"/>
  <c r="E21" i="5"/>
  <c r="J21" i="5" s="1"/>
  <c r="E22" i="5"/>
  <c r="H22" i="5" s="1"/>
  <c r="E23" i="5"/>
  <c r="F23" i="5" s="1"/>
  <c r="G23" i="5" s="1"/>
  <c r="E24" i="5"/>
  <c r="I24" i="5" s="1"/>
  <c r="E25" i="5"/>
  <c r="E26" i="5"/>
  <c r="I26" i="5" s="1"/>
  <c r="E27" i="5"/>
  <c r="J27" i="5" s="1"/>
  <c r="E28" i="5"/>
  <c r="E29" i="5"/>
  <c r="F29" i="5" s="1"/>
  <c r="G29" i="5" s="1"/>
  <c r="E30" i="5"/>
  <c r="H30" i="5" s="1"/>
  <c r="E31" i="5"/>
  <c r="J31" i="5" s="1"/>
  <c r="E32" i="5"/>
  <c r="H32" i="5" s="1"/>
  <c r="E33" i="5"/>
  <c r="I33" i="5" s="1"/>
  <c r="E34" i="5"/>
  <c r="J34" i="5" s="1"/>
  <c r="E35" i="5"/>
  <c r="I35" i="5" s="1"/>
  <c r="E36" i="5"/>
  <c r="I36" i="5" s="1"/>
  <c r="E37" i="5"/>
  <c r="J37" i="5" s="1"/>
  <c r="E38" i="5"/>
  <c r="E39" i="5"/>
  <c r="F39" i="5" s="1"/>
  <c r="G39" i="5" s="1"/>
  <c r="E40" i="5"/>
  <c r="F40" i="5" s="1"/>
  <c r="G40" i="5" s="1"/>
  <c r="E41" i="5"/>
  <c r="J41" i="5" s="1"/>
  <c r="E42" i="5"/>
  <c r="I42" i="5" s="1"/>
  <c r="E43" i="5"/>
  <c r="F43" i="5" s="1"/>
  <c r="G43" i="5" s="1"/>
  <c r="E44" i="5"/>
  <c r="H44" i="5" s="1"/>
  <c r="E45" i="5"/>
  <c r="I45" i="5" s="1"/>
  <c r="E46" i="5"/>
  <c r="I46" i="5" s="1"/>
  <c r="E47" i="5"/>
  <c r="H47" i="5" s="1"/>
  <c r="E48" i="5"/>
  <c r="F48" i="5" s="1"/>
  <c r="G48" i="5" s="1"/>
  <c r="E49" i="5"/>
  <c r="E6" i="5"/>
  <c r="F6" i="5" s="1"/>
  <c r="I27" i="7"/>
  <c r="C4" i="7"/>
  <c r="L25" i="13"/>
  <c r="I22" i="13"/>
  <c r="F22" i="13"/>
  <c r="C22" i="13"/>
  <c r="I18" i="2"/>
  <c r="C7" i="7"/>
  <c r="D6" i="7"/>
  <c r="C6" i="7"/>
  <c r="C7" i="6"/>
  <c r="D6" i="6"/>
  <c r="C6" i="6"/>
  <c r="B17" i="3"/>
  <c r="C7" i="5"/>
  <c r="C6" i="5"/>
  <c r="D6" i="5"/>
  <c r="N8" i="2"/>
  <c r="K8" i="2"/>
  <c r="H42" i="2"/>
  <c r="C15" i="3"/>
  <c r="L13" i="8" s="1"/>
  <c r="M22" i="13" s="1"/>
  <c r="I21" i="13"/>
  <c r="I20" i="13"/>
  <c r="I19" i="13"/>
  <c r="I18" i="13"/>
  <c r="I17" i="13"/>
  <c r="I16" i="13"/>
  <c r="I15" i="13"/>
  <c r="I14" i="13"/>
  <c r="F21" i="13"/>
  <c r="F20" i="13"/>
  <c r="F19" i="13"/>
  <c r="F18" i="13"/>
  <c r="F17" i="13"/>
  <c r="F16" i="13"/>
  <c r="F15" i="13"/>
  <c r="F14" i="13"/>
  <c r="C13" i="13"/>
  <c r="D17" i="13" s="1"/>
  <c r="F10" i="13"/>
  <c r="I13" i="13"/>
  <c r="J16" i="13" s="1"/>
  <c r="F13" i="13"/>
  <c r="G17" i="13" s="1"/>
  <c r="G6" i="3"/>
  <c r="D19" i="13" s="1"/>
  <c r="J6" i="3"/>
  <c r="G19" i="13" s="1"/>
  <c r="M6" i="3"/>
  <c r="M7" i="3" s="1"/>
  <c r="F8" i="3"/>
  <c r="I8" i="3"/>
  <c r="L8" i="3"/>
  <c r="F9" i="3"/>
  <c r="I9" i="3"/>
  <c r="L9" i="3"/>
  <c r="Q8" i="2"/>
  <c r="H29" i="2"/>
  <c r="H28" i="2"/>
  <c r="G16" i="13"/>
  <c r="C2" i="3"/>
  <c r="C11" i="3"/>
  <c r="B18" i="3"/>
  <c r="H24" i="2"/>
  <c r="I4" i="8"/>
  <c r="F4" i="8"/>
  <c r="C4" i="8"/>
  <c r="I3" i="8"/>
  <c r="F3" i="8"/>
  <c r="C3" i="8"/>
  <c r="I2" i="8"/>
  <c r="F2" i="8"/>
  <c r="C2" i="8"/>
  <c r="B11" i="8"/>
  <c r="I5" i="8"/>
  <c r="F5" i="8"/>
  <c r="C5" i="8"/>
  <c r="I8" i="8"/>
  <c r="I6" i="8" s="1"/>
  <c r="F8" i="8"/>
  <c r="C8" i="8"/>
  <c r="F6" i="8"/>
  <c r="C6" i="8"/>
  <c r="H12" i="8"/>
  <c r="H11" i="8"/>
  <c r="E12" i="8"/>
  <c r="E11" i="8"/>
  <c r="C4" i="6"/>
  <c r="B12" i="8"/>
  <c r="E60" i="7"/>
  <c r="L11" i="3"/>
  <c r="E59" i="5"/>
  <c r="F10" i="3"/>
  <c r="E59" i="7"/>
  <c r="L10" i="3"/>
  <c r="E60" i="6"/>
  <c r="I11" i="3"/>
  <c r="E59" i="6"/>
  <c r="I10" i="3"/>
  <c r="E60" i="5"/>
  <c r="F11" i="3"/>
  <c r="C4" i="5"/>
  <c r="I20" i="7"/>
  <c r="G23" i="7"/>
  <c r="F23" i="7"/>
  <c r="H27" i="7"/>
  <c r="J19" i="7"/>
  <c r="F27" i="6"/>
  <c r="H23" i="6"/>
  <c r="I24" i="7"/>
  <c r="H19" i="7"/>
  <c r="G19" i="7"/>
  <c r="I23" i="7"/>
  <c r="F19" i="7"/>
  <c r="F20" i="7"/>
  <c r="H24" i="7"/>
  <c r="G20" i="7"/>
  <c r="F27" i="5"/>
  <c r="G27" i="5" s="1"/>
  <c r="J36" i="7"/>
  <c r="F24" i="7"/>
  <c r="H20" i="7"/>
  <c r="G24" i="7"/>
  <c r="J35" i="6"/>
  <c r="I43" i="6"/>
  <c r="G39" i="6"/>
  <c r="I49" i="6"/>
  <c r="I32" i="5"/>
  <c r="H29" i="5"/>
  <c r="H34" i="7"/>
  <c r="G14" i="13"/>
  <c r="D36" i="5"/>
  <c r="I39" i="6"/>
  <c r="H19" i="5"/>
  <c r="H27" i="5"/>
  <c r="I31" i="5"/>
  <c r="H32" i="7"/>
  <c r="F44" i="7"/>
  <c r="G32" i="7"/>
  <c r="H28" i="6"/>
  <c r="F39" i="6"/>
  <c r="F45" i="5"/>
  <c r="G45" i="5" s="1"/>
  <c r="J41" i="7"/>
  <c r="I25" i="5"/>
  <c r="F21" i="5"/>
  <c r="G21" i="5" s="1"/>
  <c r="I48" i="7"/>
  <c r="F48" i="7"/>
  <c r="I44" i="7"/>
  <c r="J44" i="7"/>
  <c r="I28" i="7"/>
  <c r="G28" i="7"/>
  <c r="D28" i="7"/>
  <c r="J28" i="7"/>
  <c r="H28" i="7"/>
  <c r="H41" i="6"/>
  <c r="J47" i="6"/>
  <c r="J48" i="7"/>
  <c r="J43" i="5"/>
  <c r="F31" i="6"/>
  <c r="G47" i="6"/>
  <c r="H47" i="6"/>
  <c r="F36" i="6"/>
  <c r="J36" i="6"/>
  <c r="G36" i="6"/>
  <c r="H36" i="6"/>
  <c r="I21" i="5"/>
  <c r="F47" i="6"/>
  <c r="J37" i="6"/>
  <c r="I36" i="7"/>
  <c r="F36" i="7"/>
  <c r="G36" i="7"/>
  <c r="H33" i="6"/>
  <c r="D44" i="7"/>
  <c r="G40" i="7"/>
  <c r="J40" i="7"/>
  <c r="F40" i="7"/>
  <c r="D41" i="7"/>
  <c r="I40" i="7"/>
  <c r="J15" i="13"/>
  <c r="J14" i="13"/>
  <c r="D47" i="7"/>
  <c r="J35" i="5"/>
  <c r="I19" i="5"/>
  <c r="H45" i="6"/>
  <c r="I45" i="7"/>
  <c r="F31" i="7"/>
  <c r="H17" i="7"/>
  <c r="H43" i="5" l="1"/>
  <c r="I16" i="6"/>
  <c r="G48" i="7"/>
  <c r="G44" i="7"/>
  <c r="G27" i="7"/>
  <c r="J31" i="7"/>
  <c r="J23" i="7"/>
  <c r="G39" i="7"/>
  <c r="J27" i="7"/>
  <c r="D20" i="7"/>
  <c r="I27" i="5"/>
  <c r="D16" i="7"/>
  <c r="F12" i="7"/>
  <c r="G12" i="7" s="1"/>
  <c r="J12" i="7" s="1"/>
  <c r="I11" i="7"/>
  <c r="G26" i="6"/>
  <c r="I22" i="5"/>
  <c r="F45" i="6"/>
  <c r="G17" i="7"/>
  <c r="F41" i="6"/>
  <c r="I37" i="5"/>
  <c r="D47" i="5"/>
  <c r="J6" i="5"/>
  <c r="I37" i="7"/>
  <c r="H46" i="5"/>
  <c r="J33" i="7"/>
  <c r="D19" i="7"/>
  <c r="C20" i="7" s="1"/>
  <c r="G45" i="6"/>
  <c r="G38" i="7"/>
  <c r="G6" i="7"/>
  <c r="J46" i="5"/>
  <c r="I34" i="5"/>
  <c r="D31" i="5"/>
  <c r="F46" i="5"/>
  <c r="G46" i="5" s="1"/>
  <c r="I29" i="5"/>
  <c r="H18" i="5"/>
  <c r="J29" i="5"/>
  <c r="F18" i="5"/>
  <c r="G18" i="5" s="1"/>
  <c r="F26" i="5"/>
  <c r="G26" i="5" s="1"/>
  <c r="H26" i="6"/>
  <c r="H33" i="5"/>
  <c r="J22" i="5"/>
  <c r="D41" i="5"/>
  <c r="H18" i="7"/>
  <c r="J45" i="6"/>
  <c r="J41" i="6"/>
  <c r="F37" i="5"/>
  <c r="G37" i="5" s="1"/>
  <c r="G33" i="7"/>
  <c r="G30" i="6"/>
  <c r="H21" i="5"/>
  <c r="H37" i="5"/>
  <c r="J18" i="5"/>
  <c r="H6" i="5"/>
  <c r="F33" i="5"/>
  <c r="G33" i="5" s="1"/>
  <c r="G7" i="3"/>
  <c r="C3" i="3" s="1"/>
  <c r="D37" i="7"/>
  <c r="F36" i="5"/>
  <c r="G36" i="5" s="1"/>
  <c r="J8" i="7"/>
  <c r="D8" i="7"/>
  <c r="J7" i="7"/>
  <c r="F7" i="7"/>
  <c r="J45" i="7"/>
  <c r="I37" i="6"/>
  <c r="F45" i="7"/>
  <c r="H35" i="5"/>
  <c r="I25" i="7"/>
  <c r="I13" i="7"/>
  <c r="H33" i="7"/>
  <c r="D21" i="7"/>
  <c r="D33" i="6"/>
  <c r="H37" i="6"/>
  <c r="I41" i="7"/>
  <c r="H41" i="7"/>
  <c r="D35" i="5"/>
  <c r="F35" i="5"/>
  <c r="G35" i="5" s="1"/>
  <c r="H42" i="5"/>
  <c r="F32" i="5"/>
  <c r="G32" i="5" s="1"/>
  <c r="J37" i="7"/>
  <c r="H24" i="5"/>
  <c r="J24" i="5"/>
  <c r="F42" i="5"/>
  <c r="G42" i="5" s="1"/>
  <c r="J32" i="5"/>
  <c r="D25" i="5"/>
  <c r="F37" i="6"/>
  <c r="J17" i="7"/>
  <c r="F33" i="7"/>
  <c r="J33" i="6"/>
  <c r="D37" i="6"/>
  <c r="D46" i="5"/>
  <c r="C47" i="5" s="1"/>
  <c r="D42" i="5"/>
  <c r="C42" i="5" s="1"/>
  <c r="D43" i="5"/>
  <c r="D25" i="6"/>
  <c r="G33" i="6"/>
  <c r="F25" i="7"/>
  <c r="J9" i="7"/>
  <c r="F41" i="7"/>
  <c r="F49" i="7"/>
  <c r="G37" i="7"/>
  <c r="D45" i="7"/>
  <c r="C45" i="7" s="1"/>
  <c r="G45" i="7"/>
  <c r="D25" i="7"/>
  <c r="G13" i="7"/>
  <c r="H13" i="7" s="1"/>
  <c r="G21" i="7"/>
  <c r="I33" i="6"/>
  <c r="J42" i="5"/>
  <c r="H37" i="7"/>
  <c r="F24" i="5"/>
  <c r="G24" i="5" s="1"/>
  <c r="F15" i="7"/>
  <c r="G15" i="7" s="1"/>
  <c r="H15" i="7" s="1"/>
  <c r="D13" i="7"/>
  <c r="D12" i="7"/>
  <c r="D9" i="7"/>
  <c r="H9" i="7"/>
  <c r="G9" i="7"/>
  <c r="F9" i="7"/>
  <c r="H9" i="5"/>
  <c r="I9" i="5"/>
  <c r="I7" i="7"/>
  <c r="H7" i="7"/>
  <c r="H49" i="6"/>
  <c r="H39" i="6"/>
  <c r="J26" i="6"/>
  <c r="H18" i="6"/>
  <c r="F26" i="6"/>
  <c r="H30" i="6"/>
  <c r="D43" i="6"/>
  <c r="C44" i="6" s="1"/>
  <c r="F22" i="6"/>
  <c r="F30" i="6"/>
  <c r="D46" i="6"/>
  <c r="I41" i="6"/>
  <c r="G22" i="6"/>
  <c r="D22" i="6"/>
  <c r="J30" i="6"/>
  <c r="J49" i="6"/>
  <c r="F49" i="6"/>
  <c r="J15" i="7"/>
  <c r="J30" i="7"/>
  <c r="D27" i="7"/>
  <c r="C28" i="7" s="1"/>
  <c r="D38" i="7"/>
  <c r="I30" i="7"/>
  <c r="I38" i="7"/>
  <c r="I6" i="7"/>
  <c r="D31" i="7"/>
  <c r="F30" i="7"/>
  <c r="H22" i="7"/>
  <c r="F26" i="7"/>
  <c r="H30" i="7"/>
  <c r="D18" i="7"/>
  <c r="D7" i="7"/>
  <c r="F6" i="7"/>
  <c r="J38" i="7"/>
  <c r="J6" i="7"/>
  <c r="F34" i="7"/>
  <c r="D42" i="7"/>
  <c r="C42" i="7" s="1"/>
  <c r="D30" i="7"/>
  <c r="I7" i="8"/>
  <c r="G18" i="7"/>
  <c r="G26" i="7"/>
  <c r="I30" i="5"/>
  <c r="H48" i="5"/>
  <c r="H45" i="5"/>
  <c r="G35" i="7"/>
  <c r="J32" i="7"/>
  <c r="I29" i="7"/>
  <c r="D40" i="5"/>
  <c r="G24" i="6"/>
  <c r="F32" i="7"/>
  <c r="D16" i="13"/>
  <c r="D29" i="7"/>
  <c r="H36" i="5"/>
  <c r="G27" i="6"/>
  <c r="H24" i="6"/>
  <c r="D30" i="5"/>
  <c r="D23" i="5"/>
  <c r="J18" i="13"/>
  <c r="I43" i="7"/>
  <c r="D27" i="6"/>
  <c r="D27" i="5"/>
  <c r="I11" i="6"/>
  <c r="I39" i="5"/>
  <c r="I23" i="5"/>
  <c r="D31" i="6"/>
  <c r="I47" i="7"/>
  <c r="G47" i="7"/>
  <c r="D39" i="5"/>
  <c r="G43" i="7"/>
  <c r="J43" i="7"/>
  <c r="G18" i="6"/>
  <c r="J26" i="7"/>
  <c r="J26" i="5"/>
  <c r="F18" i="7"/>
  <c r="H27" i="6"/>
  <c r="I22" i="7"/>
  <c r="H26" i="7"/>
  <c r="C36" i="5"/>
  <c r="J45" i="5"/>
  <c r="J33" i="5"/>
  <c r="H35" i="7"/>
  <c r="D15" i="13"/>
  <c r="H39" i="7"/>
  <c r="J36" i="5"/>
  <c r="H43" i="6"/>
  <c r="J31" i="6"/>
  <c r="I43" i="5"/>
  <c r="D28" i="5"/>
  <c r="D18" i="5"/>
  <c r="H22" i="6"/>
  <c r="D37" i="5"/>
  <c r="C37" i="5" s="1"/>
  <c r="H47" i="7"/>
  <c r="D48" i="7"/>
  <c r="C48" i="7" s="1"/>
  <c r="I18" i="6"/>
  <c r="H43" i="7"/>
  <c r="J18" i="6"/>
  <c r="H39" i="5"/>
  <c r="D19" i="5"/>
  <c r="D33" i="7"/>
  <c r="F47" i="7"/>
  <c r="D40" i="7"/>
  <c r="C41" i="7" s="1"/>
  <c r="D36" i="7"/>
  <c r="G22" i="7"/>
  <c r="G31" i="6"/>
  <c r="D33" i="5"/>
  <c r="D34" i="5"/>
  <c r="C35" i="5" s="1"/>
  <c r="J18" i="7"/>
  <c r="D23" i="7"/>
  <c r="J39" i="5"/>
  <c r="F29" i="7"/>
  <c r="H29" i="7"/>
  <c r="J29" i="7"/>
  <c r="J22" i="7"/>
  <c r="J43" i="6"/>
  <c r="D14" i="13"/>
  <c r="I39" i="7"/>
  <c r="F35" i="7"/>
  <c r="J35" i="7"/>
  <c r="J39" i="7"/>
  <c r="F43" i="6"/>
  <c r="H31" i="6"/>
  <c r="F24" i="6"/>
  <c r="J19" i="13"/>
  <c r="J17" i="13"/>
  <c r="J7" i="3"/>
  <c r="G15" i="13"/>
  <c r="G40" i="6"/>
  <c r="H40" i="6"/>
  <c r="D40" i="6"/>
  <c r="F40" i="6"/>
  <c r="D41" i="6"/>
  <c r="G6" i="6"/>
  <c r="H48" i="6"/>
  <c r="H20" i="6"/>
  <c r="J20" i="6"/>
  <c r="I20" i="6"/>
  <c r="G20" i="6"/>
  <c r="F20" i="6"/>
  <c r="F17" i="6"/>
  <c r="H17" i="6"/>
  <c r="D18" i="6"/>
  <c r="I17" i="6"/>
  <c r="J17" i="6"/>
  <c r="H44" i="6"/>
  <c r="J44" i="6"/>
  <c r="F44" i="6"/>
  <c r="D44" i="6"/>
  <c r="D45" i="6"/>
  <c r="I44" i="6"/>
  <c r="G44" i="6"/>
  <c r="G32" i="6"/>
  <c r="F32" i="6"/>
  <c r="H32" i="6"/>
  <c r="I32" i="6"/>
  <c r="J32" i="6"/>
  <c r="D32" i="6"/>
  <c r="I29" i="6"/>
  <c r="H29" i="6"/>
  <c r="J29" i="6"/>
  <c r="D30" i="6"/>
  <c r="F29" i="6"/>
  <c r="G29" i="6"/>
  <c r="J48" i="6"/>
  <c r="D49" i="6"/>
  <c r="I48" i="6"/>
  <c r="D48" i="6"/>
  <c r="F48" i="6"/>
  <c r="J6" i="6"/>
  <c r="H6" i="6"/>
  <c r="H42" i="6"/>
  <c r="F42" i="6"/>
  <c r="G42" i="6"/>
  <c r="J42" i="6"/>
  <c r="I42" i="6"/>
  <c r="F14" i="6"/>
  <c r="G14" i="6" s="1"/>
  <c r="H14" i="6" s="1"/>
  <c r="I14" i="6"/>
  <c r="J40" i="6"/>
  <c r="I6" i="6"/>
  <c r="D17" i="6"/>
  <c r="G46" i="6"/>
  <c r="H46" i="6"/>
  <c r="D47" i="6"/>
  <c r="C48" i="6" s="1"/>
  <c r="I46" i="6"/>
  <c r="F46" i="6"/>
  <c r="J46" i="6"/>
  <c r="J38" i="6"/>
  <c r="D39" i="6"/>
  <c r="D38" i="6"/>
  <c r="F38" i="6"/>
  <c r="G38" i="6"/>
  <c r="H38" i="6"/>
  <c r="F35" i="6"/>
  <c r="H35" i="6"/>
  <c r="I35" i="6"/>
  <c r="G35" i="6"/>
  <c r="D36" i="6"/>
  <c r="C37" i="6" s="1"/>
  <c r="I22" i="6"/>
  <c r="D42" i="6"/>
  <c r="J27" i="6"/>
  <c r="F9" i="6"/>
  <c r="I24" i="6"/>
  <c r="H9" i="6"/>
  <c r="G11" i="6"/>
  <c r="H11" i="6" s="1"/>
  <c r="J19" i="5"/>
  <c r="J23" i="5"/>
  <c r="H41" i="5"/>
  <c r="D22" i="5"/>
  <c r="F22" i="5"/>
  <c r="G22" i="5" s="1"/>
  <c r="J30" i="5"/>
  <c r="F34" i="5"/>
  <c r="G34" i="5" s="1"/>
  <c r="I41" i="5"/>
  <c r="I6" i="5"/>
  <c r="J48" i="5"/>
  <c r="D32" i="5"/>
  <c r="H8" i="5"/>
  <c r="F9" i="5"/>
  <c r="G9" i="5" s="1"/>
  <c r="H40" i="5"/>
  <c r="F31" i="5"/>
  <c r="G31" i="5" s="1"/>
  <c r="F16" i="7"/>
  <c r="G16" i="7" s="1"/>
  <c r="H31" i="5"/>
  <c r="F30" i="5"/>
  <c r="G30" i="5" s="1"/>
  <c r="D10" i="5"/>
  <c r="H23" i="5"/>
  <c r="F41" i="5"/>
  <c r="G41" i="5" s="1"/>
  <c r="H26" i="5"/>
  <c r="D45" i="5"/>
  <c r="H34" i="5"/>
  <c r="I48" i="5"/>
  <c r="D17" i="5"/>
  <c r="C18" i="5" s="1"/>
  <c r="D24" i="5"/>
  <c r="I40" i="5"/>
  <c r="J40" i="5"/>
  <c r="F15" i="5"/>
  <c r="G15" i="5" s="1"/>
  <c r="J15" i="5" s="1"/>
  <c r="D16" i="6"/>
  <c r="C17" i="6" s="1"/>
  <c r="I15" i="6"/>
  <c r="D15" i="7"/>
  <c r="F14" i="7"/>
  <c r="G14" i="7" s="1"/>
  <c r="H14" i="7" s="1"/>
  <c r="D14" i="6"/>
  <c r="D15" i="6"/>
  <c r="F13" i="5"/>
  <c r="G13" i="5" s="1"/>
  <c r="H13" i="5" s="1"/>
  <c r="D13" i="5"/>
  <c r="I12" i="6"/>
  <c r="I12" i="5"/>
  <c r="D13" i="6"/>
  <c r="D11" i="6"/>
  <c r="D12" i="6"/>
  <c r="I10" i="6"/>
  <c r="D10" i="7"/>
  <c r="F10" i="5"/>
  <c r="G10" i="5" s="1"/>
  <c r="H10" i="5" s="1"/>
  <c r="D10" i="6"/>
  <c r="I10" i="5"/>
  <c r="F10" i="6"/>
  <c r="G10" i="6" s="1"/>
  <c r="H10" i="6" s="1"/>
  <c r="F10" i="7"/>
  <c r="G10" i="7" s="1"/>
  <c r="F8" i="5"/>
  <c r="G8" i="5" s="1"/>
  <c r="G8" i="6"/>
  <c r="H8" i="6"/>
  <c r="I8" i="5"/>
  <c r="I8" i="7"/>
  <c r="G8" i="7"/>
  <c r="E52" i="7"/>
  <c r="F8" i="6"/>
  <c r="F8" i="7"/>
  <c r="J8" i="6"/>
  <c r="D9" i="5"/>
  <c r="J7" i="6"/>
  <c r="I7" i="6"/>
  <c r="I7" i="5"/>
  <c r="J7" i="5"/>
  <c r="G7" i="6"/>
  <c r="D8" i="6"/>
  <c r="D7" i="6"/>
  <c r="G18" i="13"/>
  <c r="D8" i="5"/>
  <c r="H7" i="5"/>
  <c r="H7" i="6"/>
  <c r="C25" i="5"/>
  <c r="H28" i="5"/>
  <c r="I28" i="5"/>
  <c r="D29" i="5"/>
  <c r="J28" i="5"/>
  <c r="F28" i="5"/>
  <c r="G28" i="5" s="1"/>
  <c r="I25" i="6"/>
  <c r="H25" i="6"/>
  <c r="F25" i="6"/>
  <c r="D26" i="6"/>
  <c r="C26" i="6" s="1"/>
  <c r="J25" i="6"/>
  <c r="I47" i="5"/>
  <c r="F47" i="5"/>
  <c r="G47" i="5" s="1"/>
  <c r="J47" i="5"/>
  <c r="D48" i="5"/>
  <c r="I44" i="5"/>
  <c r="D44" i="5"/>
  <c r="J44" i="5"/>
  <c r="F44" i="5"/>
  <c r="G44" i="5" s="1"/>
  <c r="H34" i="6"/>
  <c r="J34" i="6"/>
  <c r="I34" i="6"/>
  <c r="D35" i="6"/>
  <c r="C36" i="6" s="1"/>
  <c r="F34" i="6"/>
  <c r="D34" i="6"/>
  <c r="G28" i="6"/>
  <c r="I28" i="6"/>
  <c r="J28" i="6"/>
  <c r="D28" i="6"/>
  <c r="F28" i="6"/>
  <c r="D29" i="6"/>
  <c r="I19" i="6"/>
  <c r="J19" i="6"/>
  <c r="G19" i="6"/>
  <c r="H19" i="6"/>
  <c r="D19" i="6"/>
  <c r="F19" i="6"/>
  <c r="D20" i="6"/>
  <c r="F13" i="6"/>
  <c r="I13" i="6"/>
  <c r="C10" i="7"/>
  <c r="F38" i="5"/>
  <c r="G38" i="5" s="1"/>
  <c r="I38" i="5"/>
  <c r="D38" i="5"/>
  <c r="C39" i="5" s="1"/>
  <c r="H38" i="5"/>
  <c r="J38" i="5"/>
  <c r="I20" i="5"/>
  <c r="D21" i="5"/>
  <c r="C22" i="5" s="1"/>
  <c r="F20" i="5"/>
  <c r="G20" i="5" s="1"/>
  <c r="J20" i="5"/>
  <c r="D20" i="5"/>
  <c r="J17" i="5"/>
  <c r="I17" i="5"/>
  <c r="H17" i="5"/>
  <c r="F17" i="5"/>
  <c r="G17" i="5" s="1"/>
  <c r="F14" i="5"/>
  <c r="G14" i="5" s="1"/>
  <c r="J14" i="5" s="1"/>
  <c r="D15" i="5"/>
  <c r="I14" i="5"/>
  <c r="D14" i="5"/>
  <c r="F11" i="5"/>
  <c r="G11" i="5" s="1"/>
  <c r="H11" i="5" s="1"/>
  <c r="E52" i="5"/>
  <c r="D12" i="5"/>
  <c r="D11" i="5"/>
  <c r="C7" i="8"/>
  <c r="D18" i="13"/>
  <c r="I21" i="6"/>
  <c r="H21" i="6"/>
  <c r="J21" i="6"/>
  <c r="G21" i="6"/>
  <c r="F21" i="6"/>
  <c r="D21" i="6"/>
  <c r="C22" i="6" s="1"/>
  <c r="F49" i="5"/>
  <c r="G49" i="5" s="1"/>
  <c r="H49" i="5"/>
  <c r="J49" i="5"/>
  <c r="D49" i="5"/>
  <c r="I49" i="5"/>
  <c r="D26" i="5"/>
  <c r="F25" i="5"/>
  <c r="G25" i="5" s="1"/>
  <c r="H25" i="5"/>
  <c r="J25" i="5"/>
  <c r="F16" i="5"/>
  <c r="G16" i="5" s="1"/>
  <c r="H16" i="5" s="1"/>
  <c r="I16" i="5"/>
  <c r="D16" i="5"/>
  <c r="J23" i="6"/>
  <c r="G23" i="6"/>
  <c r="D24" i="6"/>
  <c r="C25" i="6" s="1"/>
  <c r="D23" i="6"/>
  <c r="F23" i="6"/>
  <c r="I23" i="6"/>
  <c r="J34" i="7"/>
  <c r="I9" i="6"/>
  <c r="I49" i="7"/>
  <c r="F46" i="7"/>
  <c r="H42" i="7"/>
  <c r="I31" i="7"/>
  <c r="F38" i="7"/>
  <c r="F7" i="8"/>
  <c r="F17" i="7"/>
  <c r="D22" i="7"/>
  <c r="G25" i="7"/>
  <c r="D14" i="7"/>
  <c r="E52" i="6"/>
  <c r="J21" i="7"/>
  <c r="D43" i="7"/>
  <c r="D35" i="7"/>
  <c r="D49" i="7"/>
  <c r="C49" i="7" s="1"/>
  <c r="J25" i="7"/>
  <c r="D11" i="7"/>
  <c r="G9" i="6"/>
  <c r="J49" i="7"/>
  <c r="D46" i="7"/>
  <c r="I42" i="7"/>
  <c r="D24" i="7"/>
  <c r="D32" i="7"/>
  <c r="D39" i="7"/>
  <c r="D17" i="7"/>
  <c r="D34" i="7"/>
  <c r="F21" i="7"/>
  <c r="H21" i="7"/>
  <c r="G34" i="7"/>
  <c r="D26" i="7"/>
  <c r="D9" i="6"/>
  <c r="G49" i="7"/>
  <c r="G42" i="7"/>
  <c r="G46" i="7"/>
  <c r="H46" i="7"/>
  <c r="J42" i="7"/>
  <c r="J46" i="7"/>
  <c r="H31" i="7"/>
  <c r="L14" i="8"/>
  <c r="M23" i="13" s="1"/>
  <c r="C6" i="3"/>
  <c r="G6" i="5"/>
  <c r="H16" i="6"/>
  <c r="J16" i="6"/>
  <c r="J15" i="6"/>
  <c r="H15" i="6"/>
  <c r="J12" i="5"/>
  <c r="H12" i="5"/>
  <c r="D7" i="5"/>
  <c r="G17" i="6"/>
  <c r="G12" i="6"/>
  <c r="G11" i="7"/>
  <c r="C10" i="5" l="1"/>
  <c r="C16" i="7"/>
  <c r="C31" i="6"/>
  <c r="C31" i="5"/>
  <c r="C23" i="5"/>
  <c r="C40" i="6"/>
  <c r="C9" i="7"/>
  <c r="C21" i="7"/>
  <c r="C24" i="5"/>
  <c r="C46" i="5"/>
  <c r="J13" i="7"/>
  <c r="H12" i="7"/>
  <c r="J16" i="7"/>
  <c r="H16" i="7"/>
  <c r="J16" i="5"/>
  <c r="C43" i="6"/>
  <c r="C41" i="5"/>
  <c r="C13" i="7"/>
  <c r="C33" i="7"/>
  <c r="C8" i="7"/>
  <c r="C27" i="7"/>
  <c r="C25" i="7"/>
  <c r="C19" i="7"/>
  <c r="C33" i="6"/>
  <c r="C46" i="6"/>
  <c r="C43" i="5"/>
  <c r="C31" i="7"/>
  <c r="C37" i="7"/>
  <c r="J11" i="5"/>
  <c r="C30" i="6"/>
  <c r="C38" i="7"/>
  <c r="C12" i="7"/>
  <c r="C16" i="6"/>
  <c r="C46" i="7"/>
  <c r="C8" i="5"/>
  <c r="C24" i="7"/>
  <c r="C28" i="5"/>
  <c r="C14" i="6"/>
  <c r="J14" i="7"/>
  <c r="C12" i="5"/>
  <c r="J10" i="7"/>
  <c r="H10" i="7"/>
  <c r="I52" i="7"/>
  <c r="C8" i="6"/>
  <c r="C42" i="6"/>
  <c r="C19" i="6"/>
  <c r="C47" i="6"/>
  <c r="C27" i="6"/>
  <c r="J11" i="7"/>
  <c r="H11" i="7"/>
  <c r="C34" i="5"/>
  <c r="C30" i="7"/>
  <c r="C29" i="7"/>
  <c r="C36" i="7"/>
  <c r="C15" i="7"/>
  <c r="C13" i="5"/>
  <c r="C18" i="6"/>
  <c r="C41" i="6"/>
  <c r="C19" i="5"/>
  <c r="C17" i="5"/>
  <c r="C20" i="6"/>
  <c r="C11" i="6"/>
  <c r="C33" i="5"/>
  <c r="C40" i="5"/>
  <c r="J14" i="6"/>
  <c r="J10" i="6"/>
  <c r="F52" i="6"/>
  <c r="G13" i="6"/>
  <c r="J13" i="6" s="1"/>
  <c r="C32" i="6"/>
  <c r="C49" i="6"/>
  <c r="C45" i="6"/>
  <c r="C39" i="6"/>
  <c r="C38" i="6"/>
  <c r="J11" i="6"/>
  <c r="F52" i="5"/>
  <c r="H15" i="5"/>
  <c r="J13" i="5"/>
  <c r="C9" i="5"/>
  <c r="J10" i="5"/>
  <c r="C32" i="5"/>
  <c r="C15" i="6"/>
  <c r="I52" i="5"/>
  <c r="I52" i="6"/>
  <c r="C13" i="6"/>
  <c r="G52" i="5"/>
  <c r="C12" i="6"/>
  <c r="F52" i="7"/>
  <c r="G52" i="7"/>
  <c r="C9" i="6"/>
  <c r="C10" i="6"/>
  <c r="C39" i="7"/>
  <c r="C40" i="7"/>
  <c r="C32" i="7"/>
  <c r="C16" i="5"/>
  <c r="C21" i="6"/>
  <c r="C44" i="7"/>
  <c r="C43" i="7"/>
  <c r="C11" i="7"/>
  <c r="C29" i="6"/>
  <c r="C28" i="6"/>
  <c r="C35" i="6"/>
  <c r="C34" i="6"/>
  <c r="C44" i="5"/>
  <c r="C45" i="5"/>
  <c r="C26" i="7"/>
  <c r="C29" i="5"/>
  <c r="C30" i="5"/>
  <c r="C35" i="7"/>
  <c r="C34" i="7"/>
  <c r="C23" i="7"/>
  <c r="C22" i="7"/>
  <c r="C15" i="5"/>
  <c r="C14" i="5"/>
  <c r="H14" i="5"/>
  <c r="C38" i="5"/>
  <c r="C17" i="7"/>
  <c r="C18" i="7"/>
  <c r="C14" i="7"/>
  <c r="C47" i="7"/>
  <c r="C24" i="6"/>
  <c r="C23" i="6"/>
  <c r="C27" i="5"/>
  <c r="C26" i="5"/>
  <c r="C20" i="5"/>
  <c r="C21" i="5"/>
  <c r="C49" i="5"/>
  <c r="C48" i="5"/>
  <c r="C11" i="5"/>
  <c r="L3" i="8"/>
  <c r="M12" i="13" s="1"/>
  <c r="L2" i="8"/>
  <c r="M11" i="13" s="1"/>
  <c r="L6" i="8"/>
  <c r="M15" i="13" s="1"/>
  <c r="L7" i="8"/>
  <c r="M16" i="13" s="1"/>
  <c r="J12" i="6"/>
  <c r="H12" i="6"/>
  <c r="H13" i="6" l="1"/>
  <c r="H52" i="7"/>
  <c r="J52" i="7"/>
  <c r="G52" i="6"/>
  <c r="H52" i="5"/>
  <c r="F55" i="5" s="1"/>
  <c r="F57" i="5" s="1"/>
  <c r="C9" i="8" s="1"/>
  <c r="J52" i="5"/>
  <c r="J52" i="6"/>
  <c r="F55" i="7"/>
  <c r="F56" i="7" s="1"/>
  <c r="F58" i="7" s="1"/>
  <c r="C52" i="5"/>
  <c r="C52" i="7"/>
  <c r="C52" i="6"/>
  <c r="H52" i="6"/>
  <c r="F55" i="6" s="1"/>
  <c r="F57" i="6" s="1"/>
  <c r="F57" i="7" l="1"/>
  <c r="M8" i="3" s="1"/>
  <c r="J20" i="13" s="1"/>
  <c r="H27" i="2"/>
  <c r="M9" i="3"/>
  <c r="J21" i="13" s="1"/>
  <c r="I10" i="8"/>
  <c r="F56" i="5"/>
  <c r="F58" i="5" s="1"/>
  <c r="F59" i="5" s="1"/>
  <c r="G10" i="3" s="1"/>
  <c r="G8" i="3"/>
  <c r="F9" i="8"/>
  <c r="J8" i="3"/>
  <c r="F56" i="6"/>
  <c r="F58" i="6" s="1"/>
  <c r="F59" i="7" l="1"/>
  <c r="M10" i="3" s="1"/>
  <c r="I9" i="8"/>
  <c r="G20" i="13"/>
  <c r="C7" i="3"/>
  <c r="L8" i="8" s="1"/>
  <c r="M17" i="13" s="1"/>
  <c r="F60" i="5"/>
  <c r="C12" i="8" s="1"/>
  <c r="C10" i="8"/>
  <c r="G9" i="3"/>
  <c r="C11" i="8"/>
  <c r="D20" i="13"/>
  <c r="C4" i="3"/>
  <c r="F59" i="6"/>
  <c r="F10" i="8"/>
  <c r="J9" i="3"/>
  <c r="F60" i="7" l="1"/>
  <c r="I12" i="8" s="1"/>
  <c r="I11" i="8"/>
  <c r="G11" i="3"/>
  <c r="D22" i="13" s="1"/>
  <c r="C9" i="3"/>
  <c r="G21" i="13"/>
  <c r="C8" i="3"/>
  <c r="L9" i="8" s="1"/>
  <c r="M18" i="13" s="1"/>
  <c r="D21" i="13"/>
  <c r="C5" i="3"/>
  <c r="L4" i="8"/>
  <c r="M13" i="13" s="1"/>
  <c r="F11" i="8"/>
  <c r="F60" i="6"/>
  <c r="J10" i="3"/>
  <c r="M11" i="3" l="1"/>
  <c r="J22" i="13" s="1"/>
  <c r="L10" i="8"/>
  <c r="M19" i="13" s="1"/>
  <c r="C12" i="3"/>
  <c r="C13" i="3" s="1"/>
  <c r="L5" i="8"/>
  <c r="M14" i="13" s="1"/>
  <c r="C14" i="3"/>
  <c r="C25" i="13"/>
  <c r="F12" i="8"/>
  <c r="J11" i="3"/>
  <c r="G22" i="13" s="1"/>
  <c r="L11" i="8" l="1"/>
  <c r="M20" i="13" s="1"/>
  <c r="C16" i="3"/>
  <c r="L15" i="8" s="1"/>
  <c r="M24" i="13" s="1"/>
  <c r="L12" i="8"/>
  <c r="M21" i="13" s="1"/>
  <c r="I41" i="2" l="1"/>
  <c r="C17" i="3"/>
  <c r="C18" i="3" s="1"/>
  <c r="I42" i="2" s="1"/>
  <c r="M25" i="13" s="1"/>
  <c r="H30" i="2" l="1"/>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<sst xmlns="http://schemas.openxmlformats.org/spreadsheetml/2006/main" count="169" uniqueCount="103">
  <si>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</si>
  <si>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</si>
  <si>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</si>
  <si>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</si>
  <si>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</si>
  <si>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</si>
  <si>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</si>
  <si>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</si>
  <si>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</si>
  <si>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</si>
  <si>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</si>
  <si>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</si>
  <si>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</si>
  <si>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</si>
  <si>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</si>
  <si>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</si>
  <si>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</si>
  <si>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</si>
  <si>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</si>
  <si>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</si>
  <si>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</si>
  <si>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</si>
  <si>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</si>
  <si>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</si>
  <si>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</si>
  <si>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</si>
  <si>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</si>
  <si>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</si>
  <si>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</si>
  <si>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</si>
  <si>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</si>
  <si>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</si>
  <si>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</si>
  <si>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</si>
  <si>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</si>
  <si>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</si>
  <si>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</si>
  <si>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</si>
  <si>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</si>
  <si>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</si>
  <si>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</si>
  <si>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</si>
  <si>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</si>
  <si>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</si>
  <si>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</si>
  <si>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</si>
  <si>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</si>
  <si>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</si>
  <si>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</si>
  <si>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</si>
  <si>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</si>
  <si>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</si>
  <si>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</si>
  <si>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</si>
  <si>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</si>
  <si>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</si>
  <si>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</si>
  <si>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</si>
  <si>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</si>
  <si>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</si>
  <si>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</si>
  <si>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</si>
  <si>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</si>
  <si>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</si>
  <si>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</si>
  <si>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</si>
  <si>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</si>
  <si>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</si>
  <si>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</si>
  <si>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</si>
  <si>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</si>
  <si>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</si>
  <si>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</si>
  <si>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</si>
  <si>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</si>
  <si>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</si>
  <si>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</si>
  <si>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</si>
  <si>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</si>
  <si>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</si>
  <si>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</si>
  <si>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</si>
  <si>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</si>
  <si>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</si>
  <si>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</si>
  <si>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</si>
  <si>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</si>
  <si>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</si>
  <si>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</si>
  <si>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</si>
  <si>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</si>
  <si>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</si>
  <si>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</si>
  <si>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</si>
  <si>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</si>
  <si>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</si>
  <si>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</si>
  <si>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</si>
  <si>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</si>
  <si>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Report Generated By: Geoffrey Viernes</t>
  </si>
  <si>
    <t>Company: Leotek Electronics USA, LLC</t>
  </si>
  <si>
    <t>Date: 3/14/17</t>
  </si>
  <si>
    <t>Lumileds Luxeon 5050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</si>
</sst>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89">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3">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2" xfId="0" applyFont="1" applyFill="1" applyBorder="1" applyAlignment="1" applyProtection="1">
      <alignment horizontal="center" wrapText="1"/>
    </xf>
    <xf numFmtId="0" fontId="19" fillId="2" borderId="83" xfId="0" applyFont="1" applyFill="1" applyBorder="1" applyAlignment="1" applyProtection="1">
      <alignment vertical="top" wrapText="1"/>
    </xf>
    <xf numFmtId="10" fontId="19" fillId="6" borderId="28"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5" xfId="0" applyFill="1" applyBorder="1" applyAlignment="1">
      <alignment horizontal="center" vertical="center"/>
    </xf>
    <xf numFmtId="3" fontId="0" fillId="2" borderId="86" xfId="1" applyNumberFormat="1" applyFont="1" applyFill="1" applyBorder="1" applyAlignment="1">
      <alignment horizontal="center" vertical="center"/>
    </xf>
    <xf numFmtId="9" fontId="0" fillId="2" borderId="87" xfId="1" applyFont="1" applyFill="1" applyBorder="1" applyAlignment="1">
      <alignment horizontal="center" vertical="center"/>
    </xf>
    <xf numFmtId="165" fontId="0" fillId="2" borderId="87" xfId="2" applyNumberFormat="1" applyFont="1" applyFill="1" applyBorder="1" applyAlignment="1">
      <alignment horizontal="center" vertical="center"/>
    </xf>
    <xf numFmtId="4" fontId="0" fillId="2" borderId="87" xfId="1" applyNumberFormat="1" applyFont="1" applyFill="1" applyBorder="1" applyAlignment="1">
      <alignment horizontal="center" vertical="center"/>
    </xf>
    <xf numFmtId="3" fontId="0" fillId="2" borderId="87" xfId="0" applyNumberFormat="1" applyFill="1" applyBorder="1" applyAlignment="1">
      <alignment horizontal="center" vertical="center"/>
    </xf>
    <xf numFmtId="4" fontId="0" fillId="2" borderId="88"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23" fillId="9"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4" xfId="0" applyBorder="1" applyAlignment="1" applyProtection="1">
      <alignment vertical="top" wrapText="1"/>
      <protection locked="0"/>
    </xf>
    <xf numFmtId="0" fontId="0" fillId="0" borderId="84"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4"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topLeftCell="A13" workbookViewId="0">
      <selection activeCell="B3" sqref="B3"/>
    </sheetView>
  </sheetViews>
  <sheetFormatPr defaultColWidth="9.140625" defaultRowHeight="14.25" x14ac:dyDescent="0.2"/>
  <cols>
    <col min="1" max="1" width="2.5703125" style="72" customWidth="1"/>
    <col min="2" max="2" width="92.85546875" style="72" customWidth="1"/>
    <col min="3" max="16384" width="9.140625" style="72"/>
  </cols>
  <sheetData>
    <row r="1" spans="1:7" ht="9" customHeight="1" thickBot="1" x14ac:dyDescent="0.25">
      <c r="A1" s="110"/>
      <c r="B1" s="110"/>
      <c r="C1" s="110"/>
      <c r="D1" s="110"/>
      <c r="E1" s="110"/>
      <c r="F1" s="110"/>
      <c r="G1" s="110"/>
    </row>
    <row r="2" spans="1:7" ht="89.25" customHeight="1" thickTop="1" x14ac:dyDescent="0.35">
      <c r="A2" s="110"/>
      <c r="B2" s="119" t="s">
        <v>53</v>
      </c>
      <c r="C2" s="110"/>
      <c r="D2" s="110"/>
      <c r="E2" s="110"/>
      <c r="F2" s="110"/>
      <c r="G2" s="110"/>
    </row>
    <row r="3" spans="1:7" ht="294" thickBot="1" x14ac:dyDescent="0.25">
      <c r="A3" s="110"/>
      <c r="B3" s="120" t="s">
        <v>98</v>
      </c>
      <c r="C3" s="110"/>
      <c r="D3" s="110"/>
      <c r="E3" s="110"/>
      <c r="F3" s="110"/>
      <c r="G3" s="110"/>
    </row>
    <row r="4" spans="1:7" ht="15" thickTop="1" x14ac:dyDescent="0.2">
      <c r="A4" s="110"/>
      <c r="B4" s="118"/>
      <c r="C4" s="110"/>
      <c r="D4" s="110"/>
      <c r="E4" s="110"/>
      <c r="F4" s="110"/>
      <c r="G4" s="110"/>
    </row>
    <row r="5" spans="1:7" x14ac:dyDescent="0.2">
      <c r="A5" s="110"/>
      <c r="B5" s="110"/>
      <c r="C5" s="110"/>
      <c r="D5" s="110"/>
      <c r="E5" s="110"/>
      <c r="F5" s="110"/>
      <c r="G5" s="110"/>
    </row>
    <row r="6" spans="1:7" x14ac:dyDescent="0.2">
      <c r="A6" s="110"/>
      <c r="B6" s="110"/>
      <c r="C6" s="110"/>
      <c r="D6" s="110"/>
      <c r="E6" s="110"/>
      <c r="F6" s="110"/>
      <c r="G6" s="110"/>
    </row>
    <row r="7" spans="1:7" x14ac:dyDescent="0.2">
      <c r="A7" s="110"/>
      <c r="B7" s="110"/>
      <c r="C7" s="110"/>
      <c r="D7" s="110"/>
      <c r="E7" s="110"/>
      <c r="F7" s="110"/>
      <c r="G7" s="110"/>
    </row>
    <row r="8" spans="1:7" x14ac:dyDescent="0.2">
      <c r="A8" s="110"/>
      <c r="B8" s="110"/>
      <c r="C8" s="110"/>
      <c r="D8" s="110"/>
      <c r="E8" s="110"/>
      <c r="F8" s="110"/>
      <c r="G8" s="110"/>
    </row>
    <row r="9" spans="1:7" x14ac:dyDescent="0.2">
      <c r="A9" s="110"/>
      <c r="B9" s="110"/>
      <c r="C9" s="110"/>
      <c r="D9" s="110"/>
      <c r="E9" s="110"/>
      <c r="F9" s="110"/>
      <c r="G9" s="110"/>
    </row>
    <row r="10" spans="1:7" x14ac:dyDescent="0.2">
      <c r="A10" s="110"/>
      <c r="B10" s="110"/>
      <c r="C10" s="110"/>
      <c r="D10" s="110"/>
      <c r="E10" s="110"/>
      <c r="F10" s="110"/>
      <c r="G10" s="110"/>
    </row>
    <row r="11" spans="1:7" x14ac:dyDescent="0.2">
      <c r="A11" s="110"/>
      <c r="B11" s="110"/>
      <c r="C11" s="110"/>
      <c r="D11" s="110"/>
      <c r="E11" s="110"/>
      <c r="F11" s="110"/>
      <c r="G11" s="110"/>
    </row>
    <row r="12" spans="1:7" x14ac:dyDescent="0.2">
      <c r="A12" s="110"/>
      <c r="B12" s="110"/>
      <c r="C12" s="110"/>
      <c r="D12" s="110"/>
      <c r="E12" s="110"/>
      <c r="F12" s="110"/>
      <c r="G12" s="110"/>
    </row>
    <row r="13" spans="1:7" x14ac:dyDescent="0.2">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E16" zoomScale="55" zoomScaleNormal="55" workbookViewId="0">
      <selection activeCell="I41" sqref="I41"/>
    </sheetView>
  </sheetViews>
  <sheetFormatPr defaultColWidth="9.140625" defaultRowHeight="14.25" x14ac:dyDescent="0.2"/>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5" customWidth="1"/>
    <col min="12" max="12" width="27.28515625" style="185" customWidth="1"/>
    <col min="13" max="13" width="1.28515625" style="185" customWidth="1"/>
    <col min="14" max="14" width="13.28515625" style="185" customWidth="1"/>
    <col min="15" max="15" width="26.140625" style="185" customWidth="1"/>
    <col min="16" max="16" width="1.28515625" style="185" customWidth="1"/>
    <col min="17" max="17" width="13.42578125" style="185" customWidth="1"/>
    <col min="18" max="18" width="27.28515625" style="185" customWidth="1"/>
    <col min="19" max="19" width="2.140625" style="110" customWidth="1"/>
    <col min="20" max="20" width="1.85546875" style="110" customWidth="1"/>
    <col min="21" max="16384" width="9.140625" style="110"/>
  </cols>
  <sheetData>
    <row r="1" spans="1:33" ht="9.75" customHeight="1" x14ac:dyDescent="0.2">
      <c r="A1" s="108"/>
      <c r="B1" s="108"/>
      <c r="C1" s="108"/>
      <c r="D1" s="108"/>
      <c r="E1" s="108"/>
      <c r="F1" s="108"/>
      <c r="G1" s="108"/>
      <c r="H1" s="108"/>
      <c r="I1" s="108"/>
      <c r="J1" s="108"/>
      <c r="K1" s="160"/>
      <c r="L1" s="160"/>
      <c r="M1" s="160"/>
      <c r="N1" s="160"/>
      <c r="O1" s="160"/>
      <c r="P1" s="160"/>
      <c r="Q1" s="160"/>
      <c r="R1" s="160"/>
      <c r="S1" s="108"/>
      <c r="T1" s="108"/>
    </row>
    <row r="2" spans="1:33" ht="14.25" customHeight="1" x14ac:dyDescent="0.2">
      <c r="A2" s="108"/>
      <c r="B2" s="222" t="s">
        <v>80</v>
      </c>
      <c r="C2" s="223"/>
      <c r="D2" s="223"/>
      <c r="E2" s="223"/>
      <c r="F2" s="223"/>
      <c r="G2" s="223"/>
      <c r="H2" s="223"/>
      <c r="I2" s="223"/>
      <c r="J2" s="223"/>
      <c r="K2" s="223"/>
      <c r="L2" s="223"/>
      <c r="M2" s="223"/>
      <c r="N2" s="223"/>
      <c r="O2" s="223"/>
      <c r="P2" s="223"/>
      <c r="Q2" s="223"/>
      <c r="R2" s="223"/>
      <c r="S2" s="223"/>
      <c r="T2" s="108"/>
    </row>
    <row r="3" spans="1:33" ht="14.25" customHeight="1" x14ac:dyDescent="0.2">
      <c r="A3" s="108"/>
      <c r="B3" s="223"/>
      <c r="C3" s="223"/>
      <c r="D3" s="223"/>
      <c r="E3" s="223"/>
      <c r="F3" s="223"/>
      <c r="G3" s="223"/>
      <c r="H3" s="223"/>
      <c r="I3" s="223"/>
      <c r="J3" s="223"/>
      <c r="K3" s="223"/>
      <c r="L3" s="223"/>
      <c r="M3" s="223"/>
      <c r="N3" s="223"/>
      <c r="O3" s="223"/>
      <c r="P3" s="223"/>
      <c r="Q3" s="223"/>
      <c r="R3" s="223"/>
      <c r="S3" s="223"/>
      <c r="T3" s="108"/>
    </row>
    <row r="4" spans="1:33" ht="14.25" customHeight="1" x14ac:dyDescent="0.2">
      <c r="A4" s="108"/>
      <c r="B4" s="223"/>
      <c r="C4" s="223"/>
      <c r="D4" s="223"/>
      <c r="E4" s="223"/>
      <c r="F4" s="223"/>
      <c r="G4" s="223"/>
      <c r="H4" s="223"/>
      <c r="I4" s="223"/>
      <c r="J4" s="223"/>
      <c r="K4" s="223"/>
      <c r="L4" s="223"/>
      <c r="M4" s="223"/>
      <c r="N4" s="223"/>
      <c r="O4" s="223"/>
      <c r="P4" s="223"/>
      <c r="Q4" s="223"/>
      <c r="R4" s="223"/>
      <c r="S4" s="223"/>
      <c r="T4" s="108"/>
    </row>
    <row r="5" spans="1:33" ht="24.75" customHeight="1" x14ac:dyDescent="0.2">
      <c r="A5" s="108"/>
      <c r="B5" s="223"/>
      <c r="C5" s="223"/>
      <c r="D5" s="223"/>
      <c r="E5" s="223"/>
      <c r="F5" s="223"/>
      <c r="G5" s="223"/>
      <c r="H5" s="223"/>
      <c r="I5" s="223"/>
      <c r="J5" s="223"/>
      <c r="K5" s="223"/>
      <c r="L5" s="223"/>
      <c r="M5" s="223"/>
      <c r="N5" s="223"/>
      <c r="O5" s="223"/>
      <c r="P5" s="223"/>
      <c r="Q5" s="223"/>
      <c r="R5" s="223"/>
      <c r="S5" s="223"/>
      <c r="T5" s="108"/>
    </row>
    <row r="6" spans="1:33" ht="9" customHeight="1" x14ac:dyDescent="0.25">
      <c r="A6" s="108"/>
      <c r="B6" s="161"/>
      <c r="C6" s="161"/>
      <c r="D6" s="161"/>
      <c r="E6" s="161"/>
      <c r="F6" s="161"/>
      <c r="G6" s="161"/>
      <c r="H6" s="161"/>
      <c r="I6" s="161"/>
      <c r="J6" s="161"/>
      <c r="K6" s="162"/>
      <c r="L6" s="162"/>
      <c r="M6" s="162"/>
      <c r="N6" s="163"/>
      <c r="O6" s="162"/>
      <c r="P6" s="162"/>
      <c r="Q6" s="162"/>
      <c r="R6" s="162"/>
      <c r="S6" s="108"/>
      <c r="T6" s="108"/>
    </row>
    <row r="7" spans="1:33" ht="34.5" customHeight="1" thickBot="1" x14ac:dyDescent="0.45">
      <c r="A7" s="108"/>
      <c r="B7" s="164"/>
      <c r="C7" s="165"/>
      <c r="D7" s="166"/>
      <c r="E7" s="166"/>
      <c r="F7" s="167"/>
      <c r="G7" s="220" t="s">
        <v>45</v>
      </c>
      <c r="H7" s="221"/>
      <c r="I7" s="221"/>
      <c r="J7" s="221"/>
      <c r="K7" s="221"/>
      <c r="L7" s="221"/>
      <c r="M7" s="221"/>
      <c r="N7" s="221"/>
      <c r="O7" s="221"/>
      <c r="P7" s="221"/>
      <c r="Q7" s="221"/>
      <c r="R7" s="221"/>
      <c r="S7" s="221"/>
      <c r="T7" s="108"/>
    </row>
    <row r="8" spans="1:33" s="172" customFormat="1" ht="39" customHeight="1" thickBot="1" x14ac:dyDescent="0.35">
      <c r="A8" s="168"/>
      <c r="B8" s="169"/>
      <c r="C8" s="218" t="s">
        <v>56</v>
      </c>
      <c r="D8" s="219"/>
      <c r="E8" s="170"/>
      <c r="F8" s="171"/>
      <c r="G8" s="169"/>
      <c r="H8" s="230" t="s">
        <v>55</v>
      </c>
      <c r="I8" s="240"/>
      <c r="J8" s="169"/>
      <c r="K8" s="230" t="str">
        <f>IF(I21="","Tested Case Temperature 1",CONCATENATE("Test Data for ",I21,"⁰C Case Temperature"))</f>
        <v>Test Data for 55⁰C Case Temperature</v>
      </c>
      <c r="L8" s="231"/>
      <c r="M8" s="169"/>
      <c r="N8" s="230" t="str">
        <f>IF(I22="","Tested Case Temperature 2",CONCATENATE("Test Data for ",I22,"⁰C Case Temperature"))</f>
        <v>Test Data for 85⁰C Case Temperature</v>
      </c>
      <c r="O8" s="231"/>
      <c r="P8" s="169"/>
      <c r="Q8" s="230" t="str">
        <f>IF(I23="","Tested Case Temperature 3",CONCATENATE("Test Data for ",I23,"⁰C Case Temperature"))</f>
        <v>Test Data for 105⁰C Case Temperature</v>
      </c>
      <c r="R8" s="231"/>
      <c r="T8" s="168"/>
    </row>
    <row r="9" spans="1:33" ht="48" customHeight="1" thickBot="1" x14ac:dyDescent="0.3">
      <c r="A9" s="108"/>
      <c r="B9" s="173"/>
      <c r="C9" s="232" t="s">
        <v>95</v>
      </c>
      <c r="D9" s="233"/>
      <c r="E9" s="174"/>
      <c r="F9" s="175"/>
      <c r="G9" s="173"/>
      <c r="H9" s="224" t="s">
        <v>102</v>
      </c>
      <c r="I9" s="225"/>
      <c r="J9" s="173"/>
      <c r="K9" s="176" t="s">
        <v>82</v>
      </c>
      <c r="L9" s="176" t="s">
        <v>54</v>
      </c>
      <c r="M9" s="177"/>
      <c r="N9" s="176" t="s">
        <v>82</v>
      </c>
      <c r="O9" s="176" t="s">
        <v>54</v>
      </c>
      <c r="P9" s="177"/>
      <c r="Q9" s="176" t="s">
        <v>82</v>
      </c>
      <c r="R9" s="176" t="s">
        <v>54</v>
      </c>
      <c r="T9" s="108"/>
      <c r="AG9" s="178"/>
    </row>
    <row r="10" spans="1:33" ht="15" customHeight="1" x14ac:dyDescent="0.25">
      <c r="A10" s="108"/>
      <c r="B10" s="173"/>
      <c r="C10" s="234"/>
      <c r="D10" s="235"/>
      <c r="E10" s="174"/>
      <c r="F10" s="175"/>
      <c r="G10" s="173"/>
      <c r="H10" s="226"/>
      <c r="I10" s="227"/>
      <c r="J10" s="173"/>
      <c r="K10" s="73">
        <v>0</v>
      </c>
      <c r="L10" s="121">
        <v>1</v>
      </c>
      <c r="M10" s="169"/>
      <c r="N10" s="73">
        <v>0</v>
      </c>
      <c r="O10" s="121">
        <v>1</v>
      </c>
      <c r="P10" s="169"/>
      <c r="Q10" s="73">
        <v>0</v>
      </c>
      <c r="R10" s="121">
        <v>1</v>
      </c>
      <c r="T10" s="108"/>
      <c r="AG10" s="178"/>
    </row>
    <row r="11" spans="1:33" ht="18" customHeight="1" x14ac:dyDescent="0.25">
      <c r="A11" s="108"/>
      <c r="B11" s="173"/>
      <c r="C11" s="234"/>
      <c r="D11" s="235"/>
      <c r="E11" s="174"/>
      <c r="F11" s="175"/>
      <c r="G11" s="173"/>
      <c r="H11" s="226"/>
      <c r="I11" s="227"/>
      <c r="J11" s="173"/>
      <c r="K11" s="74">
        <v>1000</v>
      </c>
      <c r="L11" s="122">
        <v>0.99870000000000003</v>
      </c>
      <c r="M11" s="169"/>
      <c r="N11" s="74">
        <v>1000</v>
      </c>
      <c r="O11" s="122">
        <v>1.002</v>
      </c>
      <c r="P11" s="169"/>
      <c r="Q11" s="74">
        <v>1000</v>
      </c>
      <c r="R11" s="121">
        <v>0.99850000000000005</v>
      </c>
      <c r="T11" s="108"/>
      <c r="AG11" s="178"/>
    </row>
    <row r="12" spans="1:33" ht="18.75" customHeight="1" thickBot="1" x14ac:dyDescent="0.3">
      <c r="A12" s="108"/>
      <c r="B12" s="173"/>
      <c r="C12" s="234"/>
      <c r="D12" s="235"/>
      <c r="E12" s="174"/>
      <c r="F12" s="175"/>
      <c r="G12" s="173"/>
      <c r="H12" s="228"/>
      <c r="I12" s="229"/>
      <c r="J12" s="173"/>
      <c r="K12" s="74">
        <v>2000</v>
      </c>
      <c r="L12" s="122">
        <v>0.997</v>
      </c>
      <c r="M12" s="169"/>
      <c r="N12" s="74">
        <v>2000</v>
      </c>
      <c r="O12" s="122">
        <v>0.99929999999999997</v>
      </c>
      <c r="P12" s="169"/>
      <c r="Q12" s="74">
        <v>2000</v>
      </c>
      <c r="R12" s="122">
        <v>0.99619999999999997</v>
      </c>
      <c r="T12" s="108"/>
      <c r="AG12" s="178"/>
    </row>
    <row r="13" spans="1:33" ht="18" customHeight="1" x14ac:dyDescent="0.25">
      <c r="A13" s="108"/>
      <c r="B13" s="173"/>
      <c r="C13" s="234"/>
      <c r="D13" s="235"/>
      <c r="E13" s="174"/>
      <c r="F13" s="175"/>
      <c r="G13" s="173"/>
      <c r="H13" s="173"/>
      <c r="I13" s="173"/>
      <c r="J13" s="173"/>
      <c r="K13" s="74">
        <v>3000</v>
      </c>
      <c r="L13" s="122">
        <v>0.99670000000000003</v>
      </c>
      <c r="M13" s="169"/>
      <c r="N13" s="74">
        <v>3000</v>
      </c>
      <c r="O13" s="122">
        <v>0.99690000000000001</v>
      </c>
      <c r="P13" s="169"/>
      <c r="Q13" s="74">
        <v>3000</v>
      </c>
      <c r="R13" s="122">
        <v>0.99350000000000005</v>
      </c>
      <c r="T13" s="108"/>
      <c r="AG13" s="178"/>
    </row>
    <row r="14" spans="1:33" ht="18.75" customHeight="1" thickBot="1" x14ac:dyDescent="0.3">
      <c r="A14" s="108"/>
      <c r="B14" s="173"/>
      <c r="C14" s="234"/>
      <c r="D14" s="235"/>
      <c r="E14" s="174"/>
      <c r="F14" s="175"/>
      <c r="G14" s="173"/>
      <c r="H14" s="173"/>
      <c r="I14" s="173"/>
      <c r="J14" s="173"/>
      <c r="K14" s="74">
        <v>4000</v>
      </c>
      <c r="L14" s="122">
        <v>0.99780000000000002</v>
      </c>
      <c r="M14" s="169"/>
      <c r="N14" s="74">
        <v>4000</v>
      </c>
      <c r="O14" s="122">
        <v>0.99390000000000001</v>
      </c>
      <c r="P14" s="169"/>
      <c r="Q14" s="74">
        <v>4000</v>
      </c>
      <c r="R14" s="122">
        <v>0.9899</v>
      </c>
      <c r="T14" s="108"/>
      <c r="AG14" s="178"/>
    </row>
    <row r="15" spans="1:33" ht="18.75" customHeight="1" thickBot="1" x14ac:dyDescent="0.3">
      <c r="A15" s="108"/>
      <c r="B15" s="173"/>
      <c r="C15" s="234"/>
      <c r="D15" s="235"/>
      <c r="E15" s="174"/>
      <c r="F15" s="175"/>
      <c r="G15" s="173"/>
      <c r="H15" s="218" t="s">
        <v>47</v>
      </c>
      <c r="I15" s="243"/>
      <c r="J15" s="173"/>
      <c r="K15" s="74">
        <v>5000</v>
      </c>
      <c r="L15" s="122">
        <v>0.99680000000000002</v>
      </c>
      <c r="M15" s="169"/>
      <c r="N15" s="74">
        <v>5000</v>
      </c>
      <c r="O15" s="122">
        <v>0.99199999999999999</v>
      </c>
      <c r="P15" s="169"/>
      <c r="Q15" s="74">
        <v>5000</v>
      </c>
      <c r="R15" s="122">
        <v>0.98750000000000004</v>
      </c>
      <c r="T15" s="108"/>
      <c r="AG15" s="178"/>
    </row>
    <row r="16" spans="1:33" ht="19.5" customHeight="1" x14ac:dyDescent="0.25">
      <c r="A16" s="108"/>
      <c r="B16" s="173"/>
      <c r="C16" s="234"/>
      <c r="D16" s="235"/>
      <c r="E16" s="174"/>
      <c r="F16" s="175"/>
      <c r="G16" s="173"/>
      <c r="H16" s="179" t="s">
        <v>86</v>
      </c>
      <c r="I16" s="73">
        <v>20</v>
      </c>
      <c r="J16" s="173"/>
      <c r="K16" s="74">
        <v>6000</v>
      </c>
      <c r="L16" s="122">
        <v>0.99490000000000001</v>
      </c>
      <c r="M16" s="169"/>
      <c r="N16" s="74">
        <v>6000</v>
      </c>
      <c r="O16" s="122">
        <v>0.98980000000000001</v>
      </c>
      <c r="P16" s="169"/>
      <c r="Q16" s="74">
        <v>6000</v>
      </c>
      <c r="R16" s="122">
        <v>0.98519999999999996</v>
      </c>
      <c r="T16" s="108"/>
      <c r="AG16" s="178"/>
    </row>
    <row r="17" spans="1:33" ht="19.5" customHeight="1" x14ac:dyDescent="0.25">
      <c r="A17" s="108"/>
      <c r="B17" s="173"/>
      <c r="C17" s="234"/>
      <c r="D17" s="235"/>
      <c r="E17" s="174"/>
      <c r="F17" s="175"/>
      <c r="G17" s="173"/>
      <c r="H17" s="180" t="s">
        <v>48</v>
      </c>
      <c r="I17" s="74">
        <v>0</v>
      </c>
      <c r="J17" s="173"/>
      <c r="K17" s="74">
        <v>7000</v>
      </c>
      <c r="L17" s="122">
        <v>0.99360000000000004</v>
      </c>
      <c r="M17" s="169"/>
      <c r="N17" s="74">
        <v>7000</v>
      </c>
      <c r="O17" s="122">
        <v>0.98850000000000005</v>
      </c>
      <c r="P17" s="169"/>
      <c r="Q17" s="74">
        <v>7000</v>
      </c>
      <c r="R17" s="122">
        <v>0.98309999999999997</v>
      </c>
      <c r="T17" s="108"/>
      <c r="AG17" s="178"/>
    </row>
    <row r="18" spans="1:33" ht="19.5" customHeight="1" x14ac:dyDescent="0.25">
      <c r="A18" s="108"/>
      <c r="B18" s="173"/>
      <c r="C18" s="234"/>
      <c r="D18" s="235"/>
      <c r="E18" s="174"/>
      <c r="F18" s="175"/>
      <c r="G18" s="173"/>
      <c r="H18" s="180" t="s">
        <v>84</v>
      </c>
      <c r="I18" s="159">
        <f>IF(I16="","",I16-I17)</f>
        <v>20</v>
      </c>
      <c r="J18" s="173"/>
      <c r="K18" s="74">
        <v>8000</v>
      </c>
      <c r="L18" s="122">
        <v>0.99339999999999995</v>
      </c>
      <c r="M18" s="169"/>
      <c r="N18" s="74">
        <v>8000</v>
      </c>
      <c r="O18" s="122">
        <v>0.98629999999999995</v>
      </c>
      <c r="P18" s="169"/>
      <c r="Q18" s="74">
        <v>8000</v>
      </c>
      <c r="R18" s="122">
        <v>0.98029999999999995</v>
      </c>
      <c r="T18" s="108"/>
      <c r="AG18" s="178"/>
    </row>
    <row r="19" spans="1:33" ht="19.5" customHeight="1" x14ac:dyDescent="0.25">
      <c r="A19" s="108"/>
      <c r="B19" s="173"/>
      <c r="C19" s="234"/>
      <c r="D19" s="235"/>
      <c r="E19" s="174"/>
      <c r="F19" s="175"/>
      <c r="G19" s="173"/>
      <c r="H19" s="180" t="s">
        <v>83</v>
      </c>
      <c r="I19" s="74">
        <v>10000</v>
      </c>
      <c r="J19" s="173"/>
      <c r="K19" s="74">
        <v>9000</v>
      </c>
      <c r="L19" s="122">
        <v>0.99270000000000003</v>
      </c>
      <c r="M19" s="169"/>
      <c r="N19" s="74">
        <v>9000</v>
      </c>
      <c r="O19" s="122">
        <v>0.98370000000000002</v>
      </c>
      <c r="P19" s="169"/>
      <c r="Q19" s="74">
        <v>9000</v>
      </c>
      <c r="R19" s="122">
        <v>0.97740000000000005</v>
      </c>
      <c r="T19" s="108"/>
      <c r="AG19" s="178"/>
    </row>
    <row r="20" spans="1:33" ht="19.5" customHeight="1" x14ac:dyDescent="0.25">
      <c r="A20" s="108"/>
      <c r="B20" s="173"/>
      <c r="C20" s="234"/>
      <c r="D20" s="235"/>
      <c r="E20" s="174"/>
      <c r="F20" s="175"/>
      <c r="G20" s="173"/>
      <c r="H20" s="180" t="s">
        <v>49</v>
      </c>
      <c r="I20" s="74">
        <v>100</v>
      </c>
      <c r="J20" s="173"/>
      <c r="K20" s="74">
        <v>10000</v>
      </c>
      <c r="L20" s="122">
        <v>0.99199999999999999</v>
      </c>
      <c r="M20" s="169"/>
      <c r="N20" s="74">
        <v>10000</v>
      </c>
      <c r="O20" s="122">
        <v>0.98060000000000003</v>
      </c>
      <c r="P20" s="169"/>
      <c r="Q20" s="74">
        <v>10000</v>
      </c>
      <c r="R20" s="122">
        <v>0.9738</v>
      </c>
      <c r="T20" s="108"/>
      <c r="AG20" s="178"/>
    </row>
    <row r="21" spans="1:33" ht="19.5" customHeight="1" x14ac:dyDescent="0.25">
      <c r="A21" s="108"/>
      <c r="B21" s="173"/>
      <c r="C21" s="234"/>
      <c r="D21" s="235"/>
      <c r="E21" s="174"/>
      <c r="F21" s="175"/>
      <c r="G21" s="173"/>
      <c r="H21" s="180" t="s">
        <v>50</v>
      </c>
      <c r="I21" s="74">
        <v>55</v>
      </c>
      <c r="J21" s="173"/>
      <c r="K21" s="74"/>
      <c r="L21" s="122"/>
      <c r="M21" s="169"/>
      <c r="N21" s="74"/>
      <c r="O21" s="122"/>
      <c r="P21" s="169"/>
      <c r="Q21" s="74"/>
      <c r="R21" s="122"/>
      <c r="T21" s="108"/>
      <c r="AG21" s="178"/>
    </row>
    <row r="22" spans="1:33" ht="19.5" customHeight="1" x14ac:dyDescent="0.25">
      <c r="A22" s="108"/>
      <c r="B22" s="173"/>
      <c r="C22" s="234"/>
      <c r="D22" s="235"/>
      <c r="E22" s="174"/>
      <c r="F22" s="175"/>
      <c r="G22" s="173"/>
      <c r="H22" s="180" t="s">
        <v>51</v>
      </c>
      <c r="I22" s="74">
        <v>85</v>
      </c>
      <c r="J22" s="173"/>
      <c r="K22" s="74"/>
      <c r="L22" s="122"/>
      <c r="M22" s="169"/>
      <c r="N22" s="74"/>
      <c r="O22" s="122"/>
      <c r="P22" s="169"/>
      <c r="Q22" s="74"/>
      <c r="R22" s="122"/>
      <c r="T22" s="108"/>
      <c r="AG22" s="178"/>
    </row>
    <row r="23" spans="1:33" ht="21" customHeight="1" thickBot="1" x14ac:dyDescent="0.3">
      <c r="A23" s="108"/>
      <c r="B23" s="173"/>
      <c r="C23" s="234"/>
      <c r="D23" s="235"/>
      <c r="E23" s="174"/>
      <c r="F23" s="175"/>
      <c r="G23" s="173"/>
      <c r="H23" s="181" t="s">
        <v>52</v>
      </c>
      <c r="I23" s="75">
        <v>105</v>
      </c>
      <c r="J23" s="173"/>
      <c r="K23" s="74"/>
      <c r="L23" s="122"/>
      <c r="M23" s="169"/>
      <c r="N23" s="74"/>
      <c r="O23" s="122"/>
      <c r="P23" s="169"/>
      <c r="Q23" s="74"/>
      <c r="R23" s="122"/>
      <c r="T23" s="108"/>
    </row>
    <row r="24" spans="1:33" ht="20.25" customHeight="1" x14ac:dyDescent="0.25">
      <c r="A24" s="108"/>
      <c r="B24" s="173"/>
      <c r="C24" s="234"/>
      <c r="D24" s="235"/>
      <c r="E24" s="174"/>
      <c r="F24" s="175"/>
      <c r="G24" s="173"/>
      <c r="H24" s="244" t="str">
        <f>IF(AND(I22&lt;&gt;"",I21=""),"Please enter value for 'Tested Case Temperature 1'",IF(AND(OR(I21="",I22=""),I23&lt;&gt;""),"Please enter values for 'Tested Case Temperature 1' and Tested Case Temperature 2'",""))</f>
        <v/>
      </c>
      <c r="I24" s="244"/>
      <c r="J24" s="173"/>
      <c r="K24" s="74"/>
      <c r="L24" s="122"/>
      <c r="M24" s="169"/>
      <c r="N24" s="74"/>
      <c r="O24" s="122"/>
      <c r="P24" s="169"/>
      <c r="Q24" s="74"/>
      <c r="R24" s="122"/>
      <c r="T24" s="108"/>
    </row>
    <row r="25" spans="1:33" ht="18" customHeight="1" x14ac:dyDescent="0.25">
      <c r="A25" s="108"/>
      <c r="B25" s="173"/>
      <c r="C25" s="234"/>
      <c r="D25" s="235"/>
      <c r="E25" s="174"/>
      <c r="F25" s="175"/>
      <c r="G25" s="173"/>
      <c r="H25" s="245"/>
      <c r="I25" s="245"/>
      <c r="J25" s="173"/>
      <c r="K25" s="74"/>
      <c r="L25" s="122"/>
      <c r="M25" s="169"/>
      <c r="N25" s="74"/>
      <c r="O25" s="122"/>
      <c r="P25" s="169"/>
      <c r="Q25" s="74"/>
      <c r="R25" s="122"/>
      <c r="T25" s="108"/>
    </row>
    <row r="26" spans="1:33" ht="18.75" customHeight="1" x14ac:dyDescent="0.25">
      <c r="A26" s="108"/>
      <c r="B26" s="173"/>
      <c r="C26" s="234"/>
      <c r="D26" s="235"/>
      <c r="E26" s="174"/>
      <c r="F26" s="175"/>
      <c r="G26" s="173"/>
      <c r="H26" s="245"/>
      <c r="I26" s="245"/>
      <c r="J26" s="173"/>
      <c r="K26" s="74"/>
      <c r="L26" s="122"/>
      <c r="M26" s="169"/>
      <c r="N26" s="74"/>
      <c r="O26" s="122"/>
      <c r="P26" s="169"/>
      <c r="Q26" s="74"/>
      <c r="R26" s="122"/>
      <c r="T26" s="108"/>
    </row>
    <row r="27" spans="1:33" ht="34.15" customHeight="1" x14ac:dyDescent="0.25">
      <c r="A27" s="108"/>
      <c r="B27" s="173"/>
      <c r="C27" s="234"/>
      <c r="D27" s="235"/>
      <c r="E27" s="174"/>
      <c r="F27" s="175"/>
      <c r="G27" s="173"/>
      <c r="H27" s="217" t="str">
        <f>IF(OR('Calculations - Case Temp 1'!C52="FAIL",'Calculations - Case Temp 2'!C52="FAIL",'Calculations - Case Temp 3'!C52="FAIL"),"Data measurement points must be equally dispersed in time. Please see TM-21 Addendum A for details.","")</f>
        <v/>
      </c>
      <c r="I27" s="217"/>
      <c r="J27" s="173"/>
      <c r="K27" s="74"/>
      <c r="L27" s="122"/>
      <c r="M27" s="169"/>
      <c r="N27" s="74"/>
      <c r="O27" s="122"/>
      <c r="P27" s="169"/>
      <c r="Q27" s="74"/>
      <c r="R27" s="122"/>
      <c r="T27" s="108"/>
    </row>
    <row r="28" spans="1:33" ht="28.9" customHeight="1" x14ac:dyDescent="0.25">
      <c r="A28" s="108"/>
      <c r="B28" s="173"/>
      <c r="C28" s="234"/>
      <c r="D28" s="235"/>
      <c r="E28" s="174"/>
      <c r="F28" s="175"/>
      <c r="G28" s="173"/>
      <c r="H28" s="216" t="str">
        <f>IF(I33&gt;I20,"The drive current of the chip in the luminaire must be less than or equal to the chip as tested under LM-80.","")</f>
        <v/>
      </c>
      <c r="I28" s="216"/>
      <c r="J28" s="182"/>
      <c r="K28" s="74"/>
      <c r="L28" s="122"/>
      <c r="M28" s="169"/>
      <c r="N28" s="74"/>
      <c r="O28" s="122"/>
      <c r="P28" s="169"/>
      <c r="Q28" s="74"/>
      <c r="R28" s="122"/>
      <c r="T28" s="108"/>
    </row>
    <row r="29" spans="1:33" ht="19.5" customHeight="1" x14ac:dyDescent="0.2">
      <c r="A29" s="108"/>
      <c r="B29" s="182"/>
      <c r="C29" s="234"/>
      <c r="D29" s="235"/>
      <c r="E29" s="183"/>
      <c r="F29" s="184"/>
      <c r="G29" s="182"/>
      <c r="H29" s="215" t="str">
        <f>IF('TM-21 Inputs'!I34&gt;MAX('TM-21 Inputs'!I21:I23),"In situ case temperature must be less than or equal to the maximum LM-80 test temperature.","")</f>
        <v/>
      </c>
      <c r="I29" s="215"/>
      <c r="J29" s="182"/>
      <c r="K29" s="74"/>
      <c r="L29" s="122"/>
      <c r="M29" s="169"/>
      <c r="N29" s="74"/>
      <c r="O29" s="122"/>
      <c r="P29" s="169"/>
      <c r="Q29" s="74"/>
      <c r="R29" s="122"/>
      <c r="T29" s="108"/>
    </row>
    <row r="30" spans="1:33" ht="34.9" customHeight="1" x14ac:dyDescent="0.2">
      <c r="A30" s="108"/>
      <c r="B30" s="182"/>
      <c r="C30" s="234"/>
      <c r="D30" s="235"/>
      <c r="E30" s="182"/>
      <c r="F30" s="184"/>
      <c r="G30" s="182"/>
      <c r="H30" s="248"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48"/>
      <c r="J30" s="182"/>
      <c r="K30" s="74"/>
      <c r="L30" s="122"/>
      <c r="M30" s="169"/>
      <c r="N30" s="74"/>
      <c r="O30" s="122"/>
      <c r="P30" s="169"/>
      <c r="Q30" s="74"/>
      <c r="R30" s="122"/>
      <c r="T30" s="108"/>
    </row>
    <row r="31" spans="1:33" ht="23.25" customHeight="1" x14ac:dyDescent="0.2">
      <c r="A31" s="108"/>
      <c r="B31" s="183"/>
      <c r="C31" s="234"/>
      <c r="D31" s="235"/>
      <c r="E31" s="183"/>
      <c r="F31" s="184"/>
      <c r="G31" s="184"/>
      <c r="H31" s="108"/>
      <c r="I31" s="108"/>
      <c r="J31" s="184"/>
      <c r="K31" s="74"/>
      <c r="L31" s="122"/>
      <c r="M31" s="169"/>
      <c r="N31" s="74"/>
      <c r="O31" s="122"/>
      <c r="P31" s="169"/>
      <c r="Q31" s="74"/>
      <c r="R31" s="122"/>
      <c r="T31" s="108"/>
    </row>
    <row r="32" spans="1:33" ht="23.25" customHeight="1" thickBot="1" x14ac:dyDescent="0.25">
      <c r="A32" s="108"/>
      <c r="B32" s="183"/>
      <c r="C32" s="234"/>
      <c r="D32" s="235"/>
      <c r="E32" s="183"/>
      <c r="F32" s="184"/>
      <c r="G32" s="182"/>
      <c r="H32" s="246" t="s">
        <v>89</v>
      </c>
      <c r="I32" s="247"/>
      <c r="K32" s="74"/>
      <c r="L32" s="122"/>
      <c r="M32" s="169"/>
      <c r="N32" s="74"/>
      <c r="O32" s="122"/>
      <c r="P32" s="169"/>
      <c r="Q32" s="74"/>
      <c r="R32" s="122"/>
      <c r="T32" s="108"/>
    </row>
    <row r="33" spans="1:20" ht="39" customHeight="1" x14ac:dyDescent="0.2">
      <c r="A33" s="108"/>
      <c r="B33" s="183"/>
      <c r="C33" s="234"/>
      <c r="D33" s="235"/>
      <c r="E33" s="183"/>
      <c r="F33" s="184"/>
      <c r="H33" s="186" t="s">
        <v>91</v>
      </c>
      <c r="I33" s="73">
        <v>90</v>
      </c>
      <c r="K33" s="74"/>
      <c r="L33" s="122"/>
      <c r="M33" s="169"/>
      <c r="N33" s="74"/>
      <c r="O33" s="122"/>
      <c r="P33" s="169"/>
      <c r="Q33" s="74"/>
      <c r="R33" s="122"/>
      <c r="T33" s="108"/>
    </row>
    <row r="34" spans="1:20" ht="22.9" customHeight="1" x14ac:dyDescent="0.2">
      <c r="A34" s="108"/>
      <c r="B34" s="183"/>
      <c r="C34" s="234"/>
      <c r="D34" s="235"/>
      <c r="E34" s="183"/>
      <c r="F34" s="184"/>
      <c r="H34" s="187" t="s">
        <v>92</v>
      </c>
      <c r="I34" s="74">
        <v>77</v>
      </c>
      <c r="K34" s="74"/>
      <c r="L34" s="122"/>
      <c r="M34" s="169"/>
      <c r="N34" s="74"/>
      <c r="O34" s="122"/>
      <c r="P34" s="169"/>
      <c r="Q34" s="74"/>
      <c r="R34" s="122"/>
      <c r="T34" s="108"/>
    </row>
    <row r="35" spans="1:20" ht="39.6" customHeight="1" thickBot="1" x14ac:dyDescent="0.25">
      <c r="A35" s="108"/>
      <c r="B35" s="183"/>
      <c r="C35" s="234"/>
      <c r="D35" s="235"/>
      <c r="E35" s="183"/>
      <c r="F35" s="184"/>
      <c r="H35" s="188" t="s">
        <v>93</v>
      </c>
      <c r="I35" s="75">
        <v>90</v>
      </c>
      <c r="J35" s="189"/>
      <c r="K35" s="74"/>
      <c r="L35" s="122"/>
      <c r="M35" s="169"/>
      <c r="N35" s="74"/>
      <c r="O35" s="122"/>
      <c r="P35" s="169"/>
      <c r="Q35" s="74"/>
      <c r="R35" s="122"/>
      <c r="T35" s="108"/>
    </row>
    <row r="36" spans="1:20" ht="23.25" customHeight="1" x14ac:dyDescent="0.2">
      <c r="A36" s="108"/>
      <c r="B36" s="183"/>
      <c r="C36" s="234"/>
      <c r="D36" s="235"/>
      <c r="E36" s="183"/>
      <c r="F36" s="184"/>
      <c r="H36" s="112"/>
      <c r="J36" s="190"/>
      <c r="K36" s="74"/>
      <c r="L36" s="122"/>
      <c r="M36" s="169"/>
      <c r="N36" s="74"/>
      <c r="O36" s="122"/>
      <c r="P36" s="169"/>
      <c r="Q36" s="74"/>
      <c r="R36" s="122"/>
      <c r="T36" s="108"/>
    </row>
    <row r="37" spans="1:20" ht="23.25" customHeight="1" x14ac:dyDescent="0.25">
      <c r="A37" s="108"/>
      <c r="B37" s="191"/>
      <c r="C37" s="234"/>
      <c r="D37" s="235"/>
      <c r="E37" s="191"/>
      <c r="F37" s="184"/>
      <c r="G37" s="161"/>
      <c r="H37" s="192"/>
      <c r="I37" s="108"/>
      <c r="J37" s="161"/>
      <c r="K37" s="74"/>
      <c r="L37" s="122"/>
      <c r="M37" s="169"/>
      <c r="N37" s="74"/>
      <c r="O37" s="122"/>
      <c r="P37" s="169"/>
      <c r="Q37" s="74"/>
      <c r="R37" s="122"/>
      <c r="T37" s="108"/>
    </row>
    <row r="38" spans="1:20" ht="23.25" customHeight="1" x14ac:dyDescent="0.25">
      <c r="A38" s="108"/>
      <c r="B38" s="191"/>
      <c r="C38" s="234"/>
      <c r="D38" s="235"/>
      <c r="E38" s="191"/>
      <c r="F38" s="184"/>
      <c r="H38" s="241" t="s">
        <v>9</v>
      </c>
      <c r="I38" s="242"/>
      <c r="K38" s="74"/>
      <c r="L38" s="122"/>
      <c r="M38" s="169"/>
      <c r="N38" s="74"/>
      <c r="O38" s="122"/>
      <c r="P38" s="169"/>
      <c r="Q38" s="74"/>
      <c r="R38" s="122"/>
      <c r="T38" s="108"/>
    </row>
    <row r="39" spans="1:20" ht="23.25" customHeight="1" thickBot="1" x14ac:dyDescent="0.25">
      <c r="A39" s="108"/>
      <c r="C39" s="234"/>
      <c r="D39" s="235"/>
      <c r="F39" s="184"/>
      <c r="H39" s="112"/>
      <c r="K39" s="74"/>
      <c r="L39" s="122"/>
      <c r="M39" s="169"/>
      <c r="N39" s="74"/>
      <c r="O39" s="122"/>
      <c r="P39" s="169"/>
      <c r="Q39" s="74"/>
      <c r="R39" s="122"/>
      <c r="T39" s="108"/>
    </row>
    <row r="40" spans="1:20" ht="36.6" customHeight="1" x14ac:dyDescent="0.2">
      <c r="A40" s="108"/>
      <c r="C40" s="234"/>
      <c r="D40" s="235"/>
      <c r="F40" s="184"/>
      <c r="H40" s="186" t="s">
        <v>90</v>
      </c>
      <c r="I40" s="124">
        <v>60000</v>
      </c>
      <c r="J40" s="158"/>
      <c r="K40" s="74"/>
      <c r="L40" s="122"/>
      <c r="M40" s="169"/>
      <c r="N40" s="74"/>
      <c r="O40" s="122"/>
      <c r="P40" s="169"/>
      <c r="Q40" s="74"/>
      <c r="R40" s="122"/>
      <c r="T40" s="108"/>
    </row>
    <row r="41" spans="1:20" ht="23.25" customHeight="1" thickBot="1" x14ac:dyDescent="0.25">
      <c r="A41" s="108"/>
      <c r="C41" s="234"/>
      <c r="D41" s="235"/>
      <c r="F41" s="184"/>
      <c r="H41" s="188" t="s">
        <v>46</v>
      </c>
      <c r="I41" s="125">
        <f>IFERROR(IF(H27="",IF(I40="","",IF('TM-21 Inputs'!I34="","",'Product Inputs'!C14*EXP(-I40*'Product Inputs'!C16))),""),"")</f>
        <v>0.90059677184272324</v>
      </c>
      <c r="K41" s="74"/>
      <c r="L41" s="122"/>
      <c r="M41" s="169"/>
      <c r="N41" s="74"/>
      <c r="O41" s="122"/>
      <c r="P41" s="169"/>
      <c r="Q41" s="74"/>
      <c r="R41" s="122"/>
      <c r="T41" s="108"/>
    </row>
    <row r="42" spans="1:20" ht="23.25" customHeight="1" thickBot="1" x14ac:dyDescent="0.3">
      <c r="A42" s="108"/>
      <c r="C42" s="236"/>
      <c r="D42" s="237"/>
      <c r="F42" s="184"/>
      <c r="H42" s="193" t="str">
        <f>IF(I35="","Reported LM (hours):",CONCATENATE("Reported L",'TM-21 Inputs'!I35," (hours):"))</f>
        <v>Reported L90 (hours):</v>
      </c>
      <c r="I42" s="199" t="str">
        <f>IFERROR(IF(H27="",IF('Product Inputs'!C18="error","",'Product Inputs'!C18),""),"")</f>
        <v>&gt;60000</v>
      </c>
      <c r="J42" s="212"/>
      <c r="K42" s="74"/>
      <c r="L42" s="122"/>
      <c r="M42" s="169"/>
      <c r="N42" s="74"/>
      <c r="O42" s="122"/>
      <c r="P42" s="169"/>
      <c r="Q42" s="74"/>
      <c r="R42" s="122"/>
      <c r="T42" s="108"/>
    </row>
    <row r="43" spans="1:20" ht="23.25" customHeight="1" thickBot="1" x14ac:dyDescent="0.25">
      <c r="A43" s="108"/>
      <c r="C43" s="238"/>
      <c r="D43" s="239"/>
      <c r="F43" s="184"/>
      <c r="J43" s="212"/>
      <c r="K43" s="74"/>
      <c r="L43" s="122"/>
      <c r="M43" s="169"/>
      <c r="N43" s="74"/>
      <c r="O43" s="122"/>
      <c r="P43" s="169"/>
      <c r="Q43" s="74"/>
      <c r="R43" s="122"/>
      <c r="T43" s="108"/>
    </row>
    <row r="44" spans="1:20" ht="23.25" customHeight="1" x14ac:dyDescent="0.2">
      <c r="A44" s="108"/>
      <c r="F44" s="184"/>
      <c r="J44" s="194"/>
      <c r="K44" s="74"/>
      <c r="L44" s="122"/>
      <c r="M44" s="169"/>
      <c r="N44" s="74"/>
      <c r="O44" s="122"/>
      <c r="P44" s="169"/>
      <c r="Q44" s="74"/>
      <c r="R44" s="122"/>
      <c r="T44" s="108"/>
    </row>
    <row r="45" spans="1:20" ht="23.25" customHeight="1" x14ac:dyDescent="0.25">
      <c r="A45" s="108"/>
      <c r="B45" s="108"/>
      <c r="C45" s="108"/>
      <c r="D45" s="108"/>
      <c r="E45" s="108"/>
      <c r="F45" s="108"/>
      <c r="G45" s="108"/>
      <c r="H45" s="108"/>
      <c r="I45" s="108"/>
      <c r="J45" s="161"/>
      <c r="K45" s="74"/>
      <c r="L45" s="122"/>
      <c r="M45" s="169"/>
      <c r="N45" s="74"/>
      <c r="O45" s="122"/>
      <c r="P45" s="169"/>
      <c r="Q45" s="74"/>
      <c r="R45" s="122"/>
      <c r="T45" s="108"/>
    </row>
    <row r="46" spans="1:20" ht="23.25" customHeight="1" x14ac:dyDescent="0.2">
      <c r="A46" s="213"/>
      <c r="C46" s="158"/>
      <c r="K46" s="74"/>
      <c r="L46" s="122"/>
      <c r="M46" s="169"/>
      <c r="N46" s="74"/>
      <c r="O46" s="122"/>
      <c r="P46" s="169"/>
      <c r="Q46" s="74"/>
      <c r="R46" s="122"/>
      <c r="T46" s="108"/>
    </row>
    <row r="47" spans="1:20" ht="23.25" customHeight="1" x14ac:dyDescent="0.2">
      <c r="A47" s="213"/>
      <c r="K47" s="74"/>
      <c r="L47" s="122"/>
      <c r="M47" s="169"/>
      <c r="N47" s="74"/>
      <c r="O47" s="122"/>
      <c r="P47" s="169"/>
      <c r="Q47" s="74"/>
      <c r="R47" s="122"/>
      <c r="T47" s="108"/>
    </row>
    <row r="48" spans="1:20" ht="23.25" customHeight="1" x14ac:dyDescent="0.2">
      <c r="A48" s="213"/>
      <c r="K48" s="74"/>
      <c r="L48" s="122"/>
      <c r="M48" s="169"/>
      <c r="N48" s="74"/>
      <c r="O48" s="122"/>
      <c r="P48" s="169"/>
      <c r="Q48" s="74"/>
      <c r="R48" s="122"/>
      <c r="T48" s="108"/>
    </row>
    <row r="49" spans="1:20" ht="23.25" customHeight="1" thickBot="1" x14ac:dyDescent="0.25">
      <c r="A49" s="213"/>
      <c r="K49" s="75"/>
      <c r="L49" s="123"/>
      <c r="M49" s="169"/>
      <c r="N49" s="75"/>
      <c r="O49" s="123"/>
      <c r="P49" s="169"/>
      <c r="Q49" s="75"/>
      <c r="R49" s="123"/>
      <c r="T49" s="108"/>
    </row>
    <row r="50" spans="1:20" x14ac:dyDescent="0.2">
      <c r="A50" s="213"/>
      <c r="J50" s="185"/>
      <c r="T50" s="213"/>
    </row>
    <row r="51" spans="1:20" x14ac:dyDescent="0.2">
      <c r="A51" s="213"/>
      <c r="B51" s="213"/>
      <c r="C51" s="213"/>
      <c r="D51" s="213"/>
      <c r="E51" s="213"/>
      <c r="F51" s="213"/>
      <c r="G51" s="213"/>
      <c r="H51" s="213"/>
      <c r="I51" s="213"/>
      <c r="J51" s="214"/>
      <c r="K51" s="214"/>
      <c r="L51" s="214"/>
      <c r="M51" s="214"/>
      <c r="N51" s="214"/>
      <c r="O51" s="214"/>
      <c r="P51" s="214"/>
      <c r="Q51" s="214"/>
      <c r="R51" s="214"/>
      <c r="S51" s="213"/>
      <c r="T51" s="213"/>
    </row>
    <row r="52" spans="1:20" x14ac:dyDescent="0.2">
      <c r="J52" s="185"/>
    </row>
  </sheetData>
  <sheetProtection algorithmName="SHA-512" hashValue="XA7zPeeCiRAai8g2x2aStw1wiosr1GGalIN9fds8r5BqFgv6cUhiP+a+RfOK3cFk9DN44TLOiswnPI1h6yF18A==" saltValue="0SNXtmcTAOtRCdD5uP2d0g==" spinCount="100000" sheet="1" objects="1" scenarios="1"/>
  <mergeCells count="17">
    <mergeCell ref="B2:S5"/>
    <mergeCell ref="H9:I12"/>
    <mergeCell ref="K8:L8"/>
    <mergeCell ref="N8:O8"/>
    <mergeCell ref="Q8:R8"/>
    <mergeCell ref="C9:D43"/>
    <mergeCell ref="H8:I8"/>
    <mergeCell ref="H38:I38"/>
    <mergeCell ref="H15:I15"/>
    <mergeCell ref="H24:I26"/>
    <mergeCell ref="H32:I32"/>
    <mergeCell ref="H30:I30"/>
    <mergeCell ref="H29:I29"/>
    <mergeCell ref="H28:I28"/>
    <mergeCell ref="H27:I27"/>
    <mergeCell ref="C8:D8"/>
    <mergeCell ref="G7:S7"/>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topLeftCell="A2" zoomScale="70" zoomScaleNormal="70" workbookViewId="0">
      <selection activeCell="F13" sqref="F13"/>
    </sheetView>
  </sheetViews>
  <sheetFormatPr defaultColWidth="9.140625" defaultRowHeight="15" x14ac:dyDescent="0.2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59" t="s">
        <v>34</v>
      </c>
      <c r="C2" s="70">
        <f>COUNTIF('TM-21 Inputs'!I21:I23,"&gt;="&amp;0)</f>
        <v>3</v>
      </c>
    </row>
    <row r="3" spans="2:13" ht="33.75" thickBot="1" x14ac:dyDescent="0.3">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x14ac:dyDescent="0.25">
      <c r="B4" s="62" t="s">
        <v>20</v>
      </c>
      <c r="C4" s="98">
        <f>IF(C3='Product Inputs'!G7,'Product Inputs'!G8,IF(C3='Product Inputs'!J7,'Product Inputs'!J8,IF(C3='Product Inputs'!M7,'Product Inputs'!M8)))</f>
        <v>8.8507686418449906E-7</v>
      </c>
      <c r="F4" s="249" t="s">
        <v>57</v>
      </c>
      <c r="G4" s="250"/>
      <c r="H4" s="250"/>
      <c r="I4" s="250"/>
      <c r="J4" s="250"/>
      <c r="K4" s="250"/>
      <c r="L4" s="250"/>
      <c r="M4" s="251"/>
    </row>
    <row r="5" spans="2:13" ht="18.75" thickBot="1" x14ac:dyDescent="0.3">
      <c r="B5" s="63" t="s">
        <v>21</v>
      </c>
      <c r="C5" s="99">
        <f>IF(C3='Product Inputs'!G7,'Product Inputs'!G9,IF(C3='Product Inputs'!J7,'Product Inputs'!J9,IF(C3='Product Inputs'!M7,'Product Inputs'!M9)))</f>
        <v>1.0005182821546403</v>
      </c>
      <c r="F5" s="252" t="s">
        <v>12</v>
      </c>
      <c r="G5" s="253"/>
      <c r="H5" s="76"/>
      <c r="I5" s="254" t="s">
        <v>13</v>
      </c>
      <c r="J5" s="253"/>
      <c r="K5" s="76"/>
      <c r="L5" s="254" t="s">
        <v>14</v>
      </c>
      <c r="M5" s="255"/>
    </row>
    <row r="6" spans="2:13" ht="33" x14ac:dyDescent="0.2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358.15</v>
      </c>
      <c r="F6" s="77" t="s">
        <v>10</v>
      </c>
      <c r="G6" s="78">
        <f>IF('TM-21 Inputs'!I21="","",'TM-21 Inputs'!I21)</f>
        <v>55</v>
      </c>
      <c r="H6" s="79"/>
      <c r="I6" s="80" t="s">
        <v>10</v>
      </c>
      <c r="J6" s="78">
        <f>IF('TM-21 Inputs'!I22="","",'TM-21 Inputs'!I22)</f>
        <v>85</v>
      </c>
      <c r="K6" s="79"/>
      <c r="L6" s="80" t="s">
        <v>10</v>
      </c>
      <c r="M6" s="81">
        <f>IF('TM-21 Inputs'!I23="","",'TM-21 Inputs'!I23)</f>
        <v>105</v>
      </c>
    </row>
    <row r="7" spans="2:13" x14ac:dyDescent="0.25">
      <c r="B7" s="62" t="s">
        <v>22</v>
      </c>
      <c r="C7" s="98">
        <f>IF(C6="N/A","N/A",IF(C6='Product Inputs'!G7,'Product Inputs'!G8,IF(C6='Product Inputs'!J7,'Product Inputs'!J8,IF(C6='Product Inputs'!M7,'Product Inputs'!M8))))</f>
        <v>2.2447501424755326E-6</v>
      </c>
      <c r="F7" s="82" t="s">
        <v>11</v>
      </c>
      <c r="G7" s="83">
        <f>IF(G6="","",G6+273.15)</f>
        <v>328.15</v>
      </c>
      <c r="H7" s="79"/>
      <c r="I7" s="84" t="s">
        <v>11</v>
      </c>
      <c r="J7" s="83">
        <f>IF(J6="","",J6+273.15)</f>
        <v>358.15</v>
      </c>
      <c r="K7" s="85"/>
      <c r="L7" s="84" t="s">
        <v>11</v>
      </c>
      <c r="M7" s="86">
        <f>IF(M6="","",M6+273.15)</f>
        <v>378.15</v>
      </c>
    </row>
    <row r="8" spans="2:13" ht="18.75" thickBot="1" x14ac:dyDescent="0.3">
      <c r="B8" s="63" t="s">
        <v>23</v>
      </c>
      <c r="C8" s="99">
        <f>IF(C6="N/A","N/A",IF(C6='Product Inputs'!G7,'Product Inputs'!G9,IF(C6='Product Inputs'!J7,'Product Inputs'!J9,IF(C6='Product Inputs'!M7,'Product Inputs'!M9))))</f>
        <v>1.0035634849403927</v>
      </c>
      <c r="F8" s="82" t="str">
        <f>'Calculations - Case Temp 1'!E57</f>
        <v>α:</v>
      </c>
      <c r="G8" s="87">
        <f>IF(G6="","",'Calculations - Case Temp 1'!F57)</f>
        <v>8.8507686418449906E-7</v>
      </c>
      <c r="H8" s="85"/>
      <c r="I8" s="84" t="str">
        <f>'Calculations - Case Temp 2'!E57</f>
        <v>α:</v>
      </c>
      <c r="J8" s="87">
        <f>IF(J6="","",'Calculations - Case Temp 2'!F57)</f>
        <v>2.2447501424755326E-6</v>
      </c>
      <c r="K8" s="85"/>
      <c r="L8" s="84" t="str">
        <f>'Calculations - Case Temp 3'!E57</f>
        <v>α:</v>
      </c>
      <c r="M8" s="88">
        <f>IF(M6="","",'Calculations - Case Temp 3'!F57)</f>
        <v>2.7586001848447269E-6</v>
      </c>
    </row>
    <row r="9" spans="2:13" ht="18" x14ac:dyDescent="0.25">
      <c r="B9" s="65" t="s">
        <v>19</v>
      </c>
      <c r="C9" s="64">
        <f>IF(OR(C6="N/A",'TM-21 Inputs'!I34=""),"",IF(AND(C3&gt;0,C6&gt;0),(LN(C4)-LN(C7))/((1/C6)-(1/C3)),"error"))</f>
        <v>3645.9789746034498</v>
      </c>
      <c r="F9" s="82" t="str">
        <f>'Calculations - Case Temp 1'!E58</f>
        <v>B:</v>
      </c>
      <c r="G9" s="89">
        <f>IF(G6="","",'Calculations - Case Temp 1'!F58)</f>
        <v>1.0005182821546403</v>
      </c>
      <c r="H9" s="85"/>
      <c r="I9" s="84" t="str">
        <f>'Calculations - Case Temp 2'!E58</f>
        <v>B:</v>
      </c>
      <c r="J9" s="89">
        <f>IF(J6="","",'Calculations - Case Temp 2'!F58)</f>
        <v>1.0035634849403927</v>
      </c>
      <c r="K9" s="85"/>
      <c r="L9" s="84" t="str">
        <f>'Calculations - Case Temp 3'!E58</f>
        <v>B:</v>
      </c>
      <c r="M9" s="90">
        <f>IF(M6="","",'Calculations - Case Temp 3'!F58)</f>
        <v>1.00171779333152</v>
      </c>
    </row>
    <row r="10" spans="2:13" hidden="1" x14ac:dyDescent="0.25">
      <c r="F10" s="82" t="str">
        <f>'Calculations - Case Temp 1'!E59</f>
        <v>Calculated L90 (hrs):</v>
      </c>
      <c r="G10" s="91">
        <f>IF(G6="","",IF('Calculations - Case Temp 1'!C52="FAIL","",'Calculations - Case Temp 1'!F59))</f>
        <v>120000</v>
      </c>
      <c r="H10" s="85"/>
      <c r="I10" s="84" t="str">
        <f>'Calculations - Case Temp 2'!E59</f>
        <v>Calculated L90 (hrs):</v>
      </c>
      <c r="J10" s="91">
        <f>IF(J6="","",IF('Calculations - Case Temp 2'!C52="FAIL","",'Calculations - Case Temp 2'!F59))</f>
        <v>49000</v>
      </c>
      <c r="K10" s="85"/>
      <c r="L10" s="84" t="str">
        <f>'Calculations - Case Temp 3'!E59</f>
        <v>Calculated L90 (hrs):</v>
      </c>
      <c r="M10" s="92">
        <f>IF(M6="","",IF('Calculations - Case Temp 3'!C52="FAIL","",'Calculations - Case Temp 3'!F59))</f>
        <v>39000</v>
      </c>
    </row>
    <row r="11" spans="2:13" ht="18.75" thickBot="1" x14ac:dyDescent="0.3">
      <c r="B11" s="66" t="s">
        <v>24</v>
      </c>
      <c r="C11" s="67">
        <f>8.6173*(10^-5)</f>
        <v>8.6173000000000003E-5</v>
      </c>
      <c r="F11" s="93" t="str">
        <f>'Calculations - Case Temp 1'!E60</f>
        <v>Reported L90 (hrs):</v>
      </c>
      <c r="G11" s="94" t="str">
        <f>IF(G6="","",IF('Calculations - Case Temp 1'!C52="FAIL","",'Calculations - Case Temp 1'!F60))</f>
        <v>&gt;60000</v>
      </c>
      <c r="H11" s="95"/>
      <c r="I11" s="96" t="str">
        <f>'Calculations - Case Temp 2'!E60</f>
        <v>Reported L90 (hrs):</v>
      </c>
      <c r="J11" s="94">
        <f>IF(J6="","",IF('Calculations - Case Temp 2'!C52="FAIL","",'Calculations - Case Temp 2'!F60))</f>
        <v>49000</v>
      </c>
      <c r="K11" s="95"/>
      <c r="L11" s="96" t="str">
        <f>'Calculations - Case Temp 3'!E60</f>
        <v>Reported L90 (hrs):</v>
      </c>
      <c r="M11" s="97">
        <f>IF(M6="","",IF('Calculations - Case Temp 3'!C52="FAIL","",'Calculations - Case Temp 3'!F60))</f>
        <v>39000</v>
      </c>
    </row>
    <row r="12" spans="2:13" ht="18" x14ac:dyDescent="0.25">
      <c r="B12" s="66" t="s">
        <v>25</v>
      </c>
      <c r="C12" s="67">
        <f>IF(OR(C6="N/A",'TM-21 Inputs'!I34=""),"",C9*C11)</f>
        <v>0.31418494617850312</v>
      </c>
    </row>
    <row r="13" spans="2:13" x14ac:dyDescent="0.25">
      <c r="B13" s="66" t="s">
        <v>2</v>
      </c>
      <c r="C13" s="98">
        <f>IF(OR(C6="N/A",'TM-21 Inputs'!I34=""),"",IF('TM-21 Inputs'!I34="","",C4*EXP(C12/(C11*C3))))</f>
        <v>5.9197089421933677E-2</v>
      </c>
    </row>
    <row r="14" spans="2:13" ht="18.75" thickBot="1" x14ac:dyDescent="0.3">
      <c r="B14" s="68" t="s">
        <v>26</v>
      </c>
      <c r="C14" s="99">
        <f>IF('TM-21 Inputs'!I34="","",IF(C6="N/A",C5,IF('TM-21 Inputs'!I34="","",SQRT(C5*C8))))</f>
        <v>1.0020397267502352</v>
      </c>
      <c r="I14" s="1" t="s">
        <v>58</v>
      </c>
    </row>
    <row r="15" spans="2:13" ht="18" x14ac:dyDescent="0.25">
      <c r="B15" s="60" t="s">
        <v>38</v>
      </c>
      <c r="C15" s="69">
        <f>IF('TM-21 Inputs'!I34="","",'TM-21 Inputs'!I34+273.15)</f>
        <v>350.15</v>
      </c>
    </row>
    <row r="16" spans="2:13" ht="18" x14ac:dyDescent="0.25">
      <c r="B16" s="62" t="s">
        <v>27</v>
      </c>
      <c r="C16" s="98">
        <f>IF('TM-21 Inputs'!I34="","",IF(C6="N/A",C4,C13*(EXP(-C9/C15))))</f>
        <v>1.7789217484155357E-6</v>
      </c>
    </row>
    <row r="17" spans="2:3" hidden="1" x14ac:dyDescent="0.25">
      <c r="B17" s="66" t="str">
        <f>CONCATENATE("Calculated L",'TM-21 Inputs'!I35," (hrs):")</f>
        <v>Calculated L90 (hrs):</v>
      </c>
      <c r="C17" s="105">
        <f>IF('TM-21 Inputs'!I34="","",ROUND((LN(100*C14/'TM-21 Inputs'!I35)/C16),-3))</f>
        <v>60000</v>
      </c>
    </row>
    <row r="18" spans="2:3" ht="15.75" thickBot="1" x14ac:dyDescent="0.3">
      <c r="B18" s="68" t="str">
        <f>CONCATENATE("Reported L",'TM-21 Inputs'!I35," (hrs):")</f>
        <v>Reported L90 (hrs):</v>
      </c>
      <c r="C18" s="104" t="str">
        <f>IF(C17="","",IF(OR(AND('TM-21 Inputs'!$I$18&gt;=20,$C$17&lt;6*'TM-21 Inputs'!$I$19),AND('TM-21 Inputs'!$I$18&gt;=10,'TM-21 Inputs'!$I$18&lt;=19,$C$17&lt;5.5*'TM-21 Inputs'!$I$19)),ROUND(C17,-3),IF('TM-21 Inputs'!$I$18&gt;=20,CONCATENATE("&gt;",ROUND((6*'TM-21 Inputs'!$I$19),-3)),IF(AND('TM-21 Inputs'!$I$18&gt;=10,'TM-21 Inputs'!$I$18&lt;=19),CONCATENATE("&gt;",ROUND(5.5*'TM-21 Inputs'!$I$19,-3)),"error"))))</f>
        <v>&gt;60000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6" t="s">
        <v>39</v>
      </c>
      <c r="C2" s="57">
        <f>'TM-21 Inputs'!I16</f>
        <v>20</v>
      </c>
      <c r="E2" s="46" t="s">
        <v>39</v>
      </c>
      <c r="F2" s="57">
        <f>'TM-21 Inputs'!I16</f>
        <v>20</v>
      </c>
      <c r="H2" s="46" t="s">
        <v>39</v>
      </c>
      <c r="I2" s="57">
        <f>'TM-21 Inputs'!I16</f>
        <v>20</v>
      </c>
      <c r="K2" s="41" t="s">
        <v>28</v>
      </c>
      <c r="L2" s="53">
        <f>IFERROR('Product Inputs'!C3-273.15,"")</f>
        <v>55</v>
      </c>
    </row>
    <row r="3" spans="2:12" ht="18" x14ac:dyDescent="0.35">
      <c r="B3" s="45" t="s">
        <v>40</v>
      </c>
      <c r="C3" s="47">
        <f>'TM-21 Inputs'!I17</f>
        <v>0</v>
      </c>
      <c r="E3" s="45" t="s">
        <v>40</v>
      </c>
      <c r="F3" s="47">
        <f>'TM-21 Inputs'!I17</f>
        <v>0</v>
      </c>
      <c r="H3" s="45" t="s">
        <v>40</v>
      </c>
      <c r="I3" s="47">
        <f>'TM-21 Inputs'!I17</f>
        <v>0</v>
      </c>
      <c r="K3" s="42" t="s">
        <v>29</v>
      </c>
      <c r="L3" s="54">
        <f>'Product Inputs'!C3</f>
        <v>328.15</v>
      </c>
    </row>
    <row r="4" spans="2:12" ht="18" x14ac:dyDescent="0.35">
      <c r="B4" s="45" t="s">
        <v>0</v>
      </c>
      <c r="C4" s="47">
        <f>'TM-21 Inputs'!I18</f>
        <v>20</v>
      </c>
      <c r="E4" s="45" t="s">
        <v>0</v>
      </c>
      <c r="F4" s="47">
        <f>'TM-21 Inputs'!I18</f>
        <v>20</v>
      </c>
      <c r="H4" s="45" t="s">
        <v>0</v>
      </c>
      <c r="I4" s="47">
        <f>'TM-21 Inputs'!I18</f>
        <v>20</v>
      </c>
      <c r="K4" s="43" t="s">
        <v>20</v>
      </c>
      <c r="L4" s="100">
        <f>'Product Inputs'!C4</f>
        <v>8.8507686418449906E-7</v>
      </c>
    </row>
    <row r="5" spans="2:12" ht="18.75" thickBot="1" x14ac:dyDescent="0.4">
      <c r="B5" s="45" t="s">
        <v>41</v>
      </c>
      <c r="C5" s="47">
        <f>'TM-21 Inputs'!I20</f>
        <v>100</v>
      </c>
      <c r="E5" s="45" t="s">
        <v>41</v>
      </c>
      <c r="F5" s="47">
        <f>'TM-21 Inputs'!I20</f>
        <v>100</v>
      </c>
      <c r="H5" s="45" t="s">
        <v>41</v>
      </c>
      <c r="I5" s="47">
        <f>'TM-21 Inputs'!I20</f>
        <v>100</v>
      </c>
      <c r="K5" s="44" t="s">
        <v>21</v>
      </c>
      <c r="L5" s="102">
        <f>'Product Inputs'!C5</f>
        <v>1.0005182821546403</v>
      </c>
    </row>
    <row r="6" spans="2:12" ht="18" x14ac:dyDescent="0.35">
      <c r="B6" s="45" t="s">
        <v>42</v>
      </c>
      <c r="C6" s="47">
        <f>'TM-21 Inputs'!I19</f>
        <v>10000</v>
      </c>
      <c r="E6" s="45" t="s">
        <v>42</v>
      </c>
      <c r="F6" s="47">
        <f>'TM-21 Inputs'!I19</f>
        <v>10000</v>
      </c>
      <c r="H6" s="45" t="s">
        <v>42</v>
      </c>
      <c r="I6" s="47">
        <f>IF(I8="","",'TM-21 Inputs'!I19)</f>
        <v>10000</v>
      </c>
      <c r="K6" s="41" t="s">
        <v>35</v>
      </c>
      <c r="L6" s="53">
        <f>IFERROR('Product Inputs'!C6-273.15,"")</f>
        <v>85</v>
      </c>
    </row>
    <row r="7" spans="2:12" ht="31.5" x14ac:dyDescent="0.35">
      <c r="B7" s="45" t="s">
        <v>43</v>
      </c>
      <c r="C7" s="48">
        <f>C6-MIN('Calculations - Case Temp 1'!E6:E26)</f>
        <v>5000</v>
      </c>
      <c r="E7" s="45" t="s">
        <v>43</v>
      </c>
      <c r="F7" s="48">
        <f>C6-MIN('Calculations - Case Temp 2'!E6:E25)</f>
        <v>5000</v>
      </c>
      <c r="H7" s="45" t="s">
        <v>43</v>
      </c>
      <c r="I7" s="48">
        <f>IF(I8="","",C6-MIN('Calculations - Case Temp 3'!E6:E25))</f>
        <v>5000</v>
      </c>
      <c r="K7" s="42" t="s">
        <v>30</v>
      </c>
      <c r="L7" s="55">
        <f>'Product Inputs'!C6</f>
        <v>358.15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100">
        <f>'Product Inputs'!C7</f>
        <v>2.2447501424755326E-6</v>
      </c>
    </row>
    <row r="9" spans="2:12" ht="18.75" thickBot="1" x14ac:dyDescent="0.4">
      <c r="B9" s="43" t="s">
        <v>17</v>
      </c>
      <c r="C9" s="49">
        <f>'Calculations - Case Temp 1'!F57</f>
        <v>8.8507686418449906E-7</v>
      </c>
      <c r="E9" s="43" t="s">
        <v>17</v>
      </c>
      <c r="F9" s="49">
        <f>'Calculations - Case Temp 2'!F57</f>
        <v>2.2447501424755326E-6</v>
      </c>
      <c r="H9" s="43" t="s">
        <v>17</v>
      </c>
      <c r="I9" s="49">
        <f>IF(I8="","",'Calculations - Case Temp 3'!F57)</f>
        <v>2.7586001848447269E-6</v>
      </c>
      <c r="K9" s="44" t="s">
        <v>23</v>
      </c>
      <c r="L9" s="102">
        <f>'Product Inputs'!C8</f>
        <v>1.0035634849403927</v>
      </c>
    </row>
    <row r="10" spans="2:12" ht="18" x14ac:dyDescent="0.35">
      <c r="B10" s="45" t="s">
        <v>18</v>
      </c>
      <c r="C10" s="49">
        <f>'Calculations - Case Temp 1'!F58</f>
        <v>1.0005182821546403</v>
      </c>
      <c r="E10" s="45" t="s">
        <v>18</v>
      </c>
      <c r="F10" s="49">
        <f>'Calculations - Case Temp 2'!F58</f>
        <v>1.0035634849403927</v>
      </c>
      <c r="H10" s="45" t="s">
        <v>18</v>
      </c>
      <c r="I10" s="49">
        <f>IF(I8="","",'Calculations - Case Temp 3'!F58)</f>
        <v>1.00171779333152</v>
      </c>
      <c r="K10" s="41" t="s">
        <v>19</v>
      </c>
      <c r="L10" s="56">
        <f>'Product Inputs'!C9</f>
        <v>3645.9789746034498</v>
      </c>
    </row>
    <row r="11" spans="2:12" x14ac:dyDescent="0.25">
      <c r="B11" s="45" t="str">
        <f>CONCATENATE("Calculated L",'TM-21 Inputs'!I35," (hrs):")</f>
        <v>Calculated L90 (hrs):</v>
      </c>
      <c r="C11" s="50">
        <f>'Calculations - Case Temp 1'!F59</f>
        <v>120000</v>
      </c>
      <c r="E11" s="45" t="str">
        <f>CONCATENATE("Calculated L",'TM-21 Inputs'!I35," (hrs):")</f>
        <v>Calculated L90 (hrs):</v>
      </c>
      <c r="F11" s="50">
        <f>'Calculations - Case Temp 2'!F59</f>
        <v>49000</v>
      </c>
      <c r="H11" s="45" t="str">
        <f>CONCATENATE("Calculated L",'TM-21 Inputs'!I35," (hrs):")</f>
        <v>Calculated L90 (hrs):</v>
      </c>
      <c r="I11" s="50">
        <f>IF(I8="","",'Calculations - Case Temp 3'!F59)</f>
        <v>39000</v>
      </c>
      <c r="K11" s="42" t="s">
        <v>2</v>
      </c>
      <c r="L11" s="102">
        <f>'Product Inputs'!C13</f>
        <v>5.9197089421933677E-2</v>
      </c>
    </row>
    <row r="12" spans="2:12" ht="18.75" thickBot="1" x14ac:dyDescent="0.4">
      <c r="B12" s="51" t="str">
        <f>CONCATENATE("Reported L",'TM-21 Inputs'!I35," (hrs):")</f>
        <v>Reported L90 (hrs):</v>
      </c>
      <c r="C12" s="52" t="str">
        <f>'Calculations - Case Temp 1'!F60</f>
        <v>&gt;60000</v>
      </c>
      <c r="E12" s="51" t="str">
        <f>CONCATENATE("Reported L",'TM-21 Inputs'!I35," (hrs):")</f>
        <v>Reported L90 (hrs):</v>
      </c>
      <c r="F12" s="52">
        <f>'Calculations - Case Temp 2'!F60</f>
        <v>49000</v>
      </c>
      <c r="H12" s="51" t="str">
        <f>CONCATENATE("Reported L",'TM-21 Inputs'!I35," (hrs):")</f>
        <v>Reported L90 (hrs):</v>
      </c>
      <c r="I12" s="52">
        <f>IF(I8="","",'Calculations - Case Temp 3'!F60)</f>
        <v>39000</v>
      </c>
      <c r="K12" s="44" t="s">
        <v>26</v>
      </c>
      <c r="L12" s="103">
        <f>'Product Inputs'!C14</f>
        <v>1.0020397267502352</v>
      </c>
    </row>
    <row r="13" spans="2:12" ht="18" x14ac:dyDescent="0.35">
      <c r="K13" s="41" t="s">
        <v>32</v>
      </c>
      <c r="L13" s="57">
        <f>IF('Product Inputs'!C15="","",'Product Inputs'!C15-273.15)</f>
        <v>77</v>
      </c>
    </row>
    <row r="14" spans="2:12" ht="18" x14ac:dyDescent="0.35">
      <c r="K14" s="42" t="s">
        <v>33</v>
      </c>
      <c r="L14" s="47">
        <f>'Product Inputs'!C15</f>
        <v>350.15</v>
      </c>
    </row>
    <row r="15" spans="2:12" ht="18.75" thickBot="1" x14ac:dyDescent="0.4">
      <c r="K15" s="71" t="s">
        <v>27</v>
      </c>
      <c r="L15" s="101">
        <f>'Product Inputs'!C16</f>
        <v>1.7789217484155357E-6</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topLeftCell="A7" zoomScale="90" zoomScaleNormal="90" workbookViewId="0">
      <selection activeCell="I24" sqref="I24"/>
    </sheetView>
  </sheetViews>
  <sheetFormatPr defaultColWidth="9.140625" defaultRowHeight="15" x14ac:dyDescent="0.2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x14ac:dyDescent="0.25">
      <c r="A1" s="107"/>
      <c r="B1" s="107"/>
      <c r="C1" s="108"/>
      <c r="D1" s="108"/>
      <c r="E1" s="108"/>
      <c r="F1" s="108"/>
      <c r="G1" s="108"/>
      <c r="H1" s="108"/>
      <c r="I1" s="108"/>
      <c r="J1" s="108"/>
      <c r="K1" s="108"/>
      <c r="L1" s="108"/>
      <c r="M1" s="108"/>
      <c r="N1" s="108"/>
      <c r="O1" s="108"/>
    </row>
    <row r="2" spans="1:15" ht="15" customHeight="1" x14ac:dyDescent="0.25">
      <c r="A2" s="107"/>
      <c r="B2" s="265" t="s">
        <v>87</v>
      </c>
      <c r="C2" s="265"/>
      <c r="D2" s="265"/>
      <c r="E2" s="265"/>
      <c r="F2" s="265"/>
      <c r="G2" s="265"/>
      <c r="H2" s="265"/>
      <c r="I2" s="265"/>
      <c r="J2" s="265"/>
      <c r="K2" s="265"/>
      <c r="L2" s="265"/>
      <c r="M2" s="265"/>
      <c r="N2" s="265"/>
      <c r="O2" s="108"/>
    </row>
    <row r="3" spans="1:15" ht="15" customHeight="1" x14ac:dyDescent="0.25">
      <c r="A3" s="107"/>
      <c r="B3" s="265"/>
      <c r="C3" s="265"/>
      <c r="D3" s="265"/>
      <c r="E3" s="265"/>
      <c r="F3" s="265"/>
      <c r="G3" s="265"/>
      <c r="H3" s="265"/>
      <c r="I3" s="265"/>
      <c r="J3" s="265"/>
      <c r="K3" s="265"/>
      <c r="L3" s="265"/>
      <c r="M3" s="265"/>
      <c r="N3" s="265"/>
      <c r="O3" s="108"/>
    </row>
    <row r="4" spans="1:15" ht="15" customHeight="1" x14ac:dyDescent="0.25">
      <c r="A4" s="107"/>
      <c r="B4" s="265"/>
      <c r="C4" s="265"/>
      <c r="D4" s="265"/>
      <c r="E4" s="265"/>
      <c r="F4" s="265"/>
      <c r="G4" s="265"/>
      <c r="H4" s="265"/>
      <c r="I4" s="265"/>
      <c r="J4" s="265"/>
      <c r="K4" s="265"/>
      <c r="L4" s="265"/>
      <c r="M4" s="265"/>
      <c r="N4" s="265"/>
      <c r="O4" s="108"/>
    </row>
    <row r="5" spans="1:15" ht="12" customHeight="1" x14ac:dyDescent="0.25">
      <c r="A5" s="107"/>
      <c r="B5" s="265"/>
      <c r="C5" s="265"/>
      <c r="D5" s="265"/>
      <c r="E5" s="265"/>
      <c r="F5" s="265"/>
      <c r="G5" s="265"/>
      <c r="H5" s="265"/>
      <c r="I5" s="265"/>
      <c r="J5" s="265"/>
      <c r="K5" s="265"/>
      <c r="L5" s="265"/>
      <c r="M5" s="265"/>
      <c r="N5" s="265"/>
      <c r="O5" s="108"/>
    </row>
    <row r="6" spans="1:15" ht="8.25" customHeight="1" x14ac:dyDescent="0.25">
      <c r="A6" s="107"/>
      <c r="B6" s="265"/>
      <c r="C6" s="265"/>
      <c r="D6" s="265"/>
      <c r="E6" s="265"/>
      <c r="F6" s="265"/>
      <c r="G6" s="265"/>
      <c r="H6" s="265"/>
      <c r="I6" s="265"/>
      <c r="J6" s="265"/>
      <c r="K6" s="265"/>
      <c r="L6" s="265"/>
      <c r="M6" s="265"/>
      <c r="N6" s="265"/>
      <c r="O6" s="108"/>
    </row>
    <row r="7" spans="1:15" ht="10.5" customHeight="1" x14ac:dyDescent="0.25">
      <c r="A7" s="107"/>
      <c r="B7" s="108"/>
      <c r="C7" s="108"/>
      <c r="D7" s="108"/>
      <c r="E7" s="108"/>
      <c r="F7" s="108"/>
      <c r="G7" s="108"/>
      <c r="H7" s="108"/>
      <c r="I7" s="108"/>
      <c r="J7" s="108"/>
      <c r="K7" s="108"/>
      <c r="L7" s="108"/>
      <c r="M7" s="108"/>
      <c r="N7" s="108"/>
      <c r="O7" s="107"/>
    </row>
    <row r="8" spans="1:15" ht="15.75" thickBot="1" x14ac:dyDescent="0.3">
      <c r="A8" s="107"/>
      <c r="B8" s="110"/>
      <c r="C8" s="110"/>
      <c r="D8" s="110"/>
      <c r="E8" s="110"/>
      <c r="F8" s="110"/>
      <c r="G8" s="110"/>
      <c r="H8" s="110"/>
      <c r="I8" s="110"/>
      <c r="J8" s="110"/>
      <c r="K8" s="110"/>
      <c r="L8" s="110"/>
      <c r="M8" s="110"/>
      <c r="N8" s="110"/>
      <c r="O8" s="108"/>
    </row>
    <row r="9" spans="1:15" ht="15.75" thickBot="1" x14ac:dyDescent="0.3">
      <c r="A9" s="107"/>
      <c r="B9" s="110"/>
      <c r="C9" s="270" t="s">
        <v>57</v>
      </c>
      <c r="D9" s="271"/>
      <c r="E9" s="271"/>
      <c r="F9" s="271"/>
      <c r="G9" s="271"/>
      <c r="H9" s="271"/>
      <c r="I9" s="271"/>
      <c r="J9" s="272"/>
      <c r="K9" s="110"/>
      <c r="L9" s="266" t="s">
        <v>81</v>
      </c>
      <c r="M9" s="267"/>
      <c r="N9" s="110"/>
      <c r="O9" s="108"/>
    </row>
    <row r="10" spans="1:15" ht="15" customHeight="1" thickBot="1" x14ac:dyDescent="0.3">
      <c r="A10" s="107"/>
      <c r="B10" s="110"/>
      <c r="C10" s="275" t="s">
        <v>88</v>
      </c>
      <c r="D10" s="276"/>
      <c r="E10" s="277"/>
      <c r="F10" s="284" t="str">
        <f>IF('TM-21 Inputs'!H9="","",'TM-21 Inputs'!H9)</f>
        <v>Lumileds Luxeon 5050</v>
      </c>
      <c r="G10" s="285"/>
      <c r="H10" s="285"/>
      <c r="I10" s="285"/>
      <c r="J10" s="286"/>
      <c r="K10" s="110"/>
      <c r="L10" s="268" t="s">
        <v>85</v>
      </c>
      <c r="M10" s="269"/>
      <c r="N10" s="110"/>
      <c r="O10" s="108"/>
    </row>
    <row r="11" spans="1:15" ht="18.75" x14ac:dyDescent="0.25">
      <c r="A11" s="107"/>
      <c r="B11" s="110"/>
      <c r="C11" s="278"/>
      <c r="D11" s="279"/>
      <c r="E11" s="280"/>
      <c r="F11" s="287"/>
      <c r="G11" s="288"/>
      <c r="H11" s="288"/>
      <c r="I11" s="288"/>
      <c r="J11" s="289"/>
      <c r="K11" s="110"/>
      <c r="L11" s="139" t="s">
        <v>67</v>
      </c>
      <c r="M11" s="147">
        <f>IF('TM-21 Projection'!L2="","-",'TM-21 Projection'!L2)</f>
        <v>55</v>
      </c>
      <c r="N11" s="110"/>
      <c r="O11" s="108"/>
    </row>
    <row r="12" spans="1:15" ht="28.5" customHeight="1" thickBot="1" x14ac:dyDescent="0.3">
      <c r="A12" s="107"/>
      <c r="B12" s="110"/>
      <c r="C12" s="281"/>
      <c r="D12" s="282"/>
      <c r="E12" s="283"/>
      <c r="F12" s="290"/>
      <c r="G12" s="291"/>
      <c r="H12" s="291"/>
      <c r="I12" s="291"/>
      <c r="J12" s="292"/>
      <c r="K12" s="110"/>
      <c r="L12" s="140" t="s">
        <v>68</v>
      </c>
      <c r="M12" s="148">
        <f>IF(OR('TM-21 Projection'!L3="",'TM-21 Projection'!L3="In situ case temp too high"),"-",'TM-21 Projection'!L3)</f>
        <v>328.15</v>
      </c>
      <c r="N12" s="110"/>
      <c r="O12" s="108"/>
    </row>
    <row r="13" spans="1:15" ht="19.5" thickBot="1" x14ac:dyDescent="0.3">
      <c r="A13" s="107"/>
      <c r="B13" s="110"/>
      <c r="C13" s="273" t="str">
        <f>IF('TM-21 Inputs'!I21="","",CONCATENATE("Test Condition 1 - ",'TM-21 Inputs'!I21,"⁰C Case Temp"))</f>
        <v>Test Condition 1 - 55⁰C Case Temp</v>
      </c>
      <c r="D13" s="274"/>
      <c r="E13" s="111"/>
      <c r="F13" s="273" t="str">
        <f>IF('TM-21 Inputs'!I22="","",CONCATENATE("Test Condition 2 - ",'TM-21 Inputs'!I22,"⁰C Case Temp"))</f>
        <v>Test Condition 2 - 85⁰C Case Temp</v>
      </c>
      <c r="G13" s="274"/>
      <c r="H13" s="111"/>
      <c r="I13" s="273" t="str">
        <f>IF('TM-21 Inputs'!I23="","",CONCATENATE("Test Condition 3 - ",'TM-21 Inputs'!I23,"⁰C Case Temp"))</f>
        <v>Test Condition 3 - 105⁰C Case Temp</v>
      </c>
      <c r="J13" s="274"/>
      <c r="K13" s="110"/>
      <c r="L13" s="141" t="s">
        <v>69</v>
      </c>
      <c r="M13" s="149">
        <f>IF('TM-21 Projection'!L4="","-",'TM-21 Projection'!L4)</f>
        <v>8.8507686418449906E-7</v>
      </c>
      <c r="N13" s="110"/>
      <c r="O13" s="108"/>
    </row>
    <row r="14" spans="1:15" s="116" customFormat="1" ht="18.75" x14ac:dyDescent="0.25">
      <c r="A14" s="107"/>
      <c r="B14" s="112"/>
      <c r="C14" s="126" t="s">
        <v>64</v>
      </c>
      <c r="D14" s="130">
        <f>IF(OR('TM-21 Inputs'!$I$16="",C13=""),"-",'TM-21 Inputs'!$I$16)</f>
        <v>20</v>
      </c>
      <c r="E14" s="113"/>
      <c r="F14" s="126" t="str">
        <f>C14</f>
        <v>Sample size</v>
      </c>
      <c r="G14" s="130">
        <f>IF(OR('TM-21 Inputs'!$I$16="",F13=""),"-",'TM-21 Inputs'!$I$16)</f>
        <v>20</v>
      </c>
      <c r="H14" s="113"/>
      <c r="I14" s="126" t="str">
        <f>C14</f>
        <v>Sample size</v>
      </c>
      <c r="J14" s="130">
        <f>IF(OR('TM-21 Inputs'!$I$16="",I13=""),"-",'TM-21 Inputs'!$I$16)</f>
        <v>20</v>
      </c>
      <c r="K14" s="112"/>
      <c r="L14" s="142" t="s">
        <v>70</v>
      </c>
      <c r="M14" s="150">
        <f>IF('TM-21 Projection'!L5="","-",'TM-21 Projection'!L5)</f>
        <v>1.0005182821546403</v>
      </c>
      <c r="N14" s="112"/>
      <c r="O14" s="108"/>
    </row>
    <row r="15" spans="1:15" s="116" customFormat="1" ht="18.75" x14ac:dyDescent="0.25">
      <c r="A15" s="107"/>
      <c r="B15" s="112"/>
      <c r="C15" s="126" t="s">
        <v>63</v>
      </c>
      <c r="D15" s="130">
        <f>IF(OR('TM-21 Inputs'!$I$17="",C13=""),"-",'TM-21 Inputs'!$I$17)</f>
        <v>0</v>
      </c>
      <c r="E15" s="113"/>
      <c r="F15" s="126" t="str">
        <f t="shared" ref="F15:F21" si="0">C15</f>
        <v>Number of failures</v>
      </c>
      <c r="G15" s="130">
        <f>IF(OR('TM-21 Inputs'!$I$17="",F13=""),"-",'TM-21 Inputs'!$I$17)</f>
        <v>0</v>
      </c>
      <c r="H15" s="113"/>
      <c r="I15" s="126" t="str">
        <f t="shared" ref="I15:I21" si="1">C15</f>
        <v>Number of failures</v>
      </c>
      <c r="J15" s="130">
        <f>IF(OR('TM-21 Inputs'!$I$17="",I13=""),"-",'TM-21 Inputs'!$I$17)</f>
        <v>0</v>
      </c>
      <c r="K15" s="112"/>
      <c r="L15" s="143" t="s">
        <v>71</v>
      </c>
      <c r="M15" s="151">
        <f>IF('TM-21 Projection'!L6="","-",'TM-21 Projection'!L6)</f>
        <v>85</v>
      </c>
      <c r="N15" s="112"/>
      <c r="O15" s="108"/>
    </row>
    <row r="16" spans="1:15" s="116" customFormat="1" ht="28.5" x14ac:dyDescent="0.25">
      <c r="A16" s="107"/>
      <c r="B16" s="112"/>
      <c r="C16" s="126" t="s">
        <v>62</v>
      </c>
      <c r="D16" s="130">
        <f>IF(OR('TM-21 Inputs'!$I$20="",C13=""),"-",'TM-21 Inputs'!$I$20)</f>
        <v>100</v>
      </c>
      <c r="E16" s="113"/>
      <c r="F16" s="126" t="str">
        <f t="shared" si="0"/>
        <v>DUT drive current used in the test (mA)</v>
      </c>
      <c r="G16" s="130">
        <f>IF(OR('TM-21 Inputs'!$I$20="",F13=""),"-",'TM-21 Inputs'!$I$20)</f>
        <v>100</v>
      </c>
      <c r="H16" s="113"/>
      <c r="I16" s="126" t="str">
        <f t="shared" si="1"/>
        <v>DUT drive current used in the test (mA)</v>
      </c>
      <c r="J16" s="130">
        <f>IF(OR('TM-21 Inputs'!$I$20="",I13=""),"-",'TM-21 Inputs'!$I$20)</f>
        <v>100</v>
      </c>
      <c r="K16" s="112"/>
      <c r="L16" s="140" t="s">
        <v>72</v>
      </c>
      <c r="M16" s="152">
        <f>IF(OR('TM-21 Projection'!L7="",'TM-21 Projection'!L7="N/A"),"-",'TM-21 Projection'!L7)</f>
        <v>358.15</v>
      </c>
      <c r="N16" s="112"/>
      <c r="O16" s="108"/>
    </row>
    <row r="17" spans="1:15" s="116" customFormat="1" ht="18.75" x14ac:dyDescent="0.25">
      <c r="A17" s="107"/>
      <c r="B17" s="112"/>
      <c r="C17" s="126" t="s">
        <v>65</v>
      </c>
      <c r="D17" s="131">
        <f>IF(OR('TM-21 Inputs'!I19="",C13=""),"-",'TM-21 Inputs'!I19)</f>
        <v>10000</v>
      </c>
      <c r="E17" s="113"/>
      <c r="F17" s="126" t="str">
        <f t="shared" si="0"/>
        <v>Test duration (hours)</v>
      </c>
      <c r="G17" s="137">
        <f>IF(OR('TM-21 Inputs'!I19="",F13=""),"-",'TM-21 Inputs'!I19)</f>
        <v>10000</v>
      </c>
      <c r="H17" s="113"/>
      <c r="I17" s="126" t="str">
        <f t="shared" si="1"/>
        <v>Test duration (hours)</v>
      </c>
      <c r="J17" s="137">
        <f>IF(OR('TM-21 Inputs'!I19="",I13=""),"-",'TM-21 Inputs'!I19)</f>
        <v>10000</v>
      </c>
      <c r="K17" s="112"/>
      <c r="L17" s="141" t="s">
        <v>73</v>
      </c>
      <c r="M17" s="149">
        <f>IF(OR('TM-21 Projection'!L8="",'TM-21 Projection'!L8="N/A"),"-",'TM-21 Projection'!L8)</f>
        <v>2.2447501424755326E-6</v>
      </c>
      <c r="N17" s="112"/>
      <c r="O17" s="108"/>
    </row>
    <row r="18" spans="1:15" s="116" customFormat="1" ht="36" customHeight="1" x14ac:dyDescent="0.25">
      <c r="A18" s="107"/>
      <c r="B18" s="114"/>
      <c r="C18" s="127" t="s">
        <v>66</v>
      </c>
      <c r="D18" s="132" t="str">
        <f>IF(OR('TM-21 Inputs'!I19="",C13=""),"-",IF(SUM('Calculations - Case Temp 1'!E6:E49)=0,"-",CONCATENATE(TEXT(MIN('Calculations - Case Temp 1'!E6:E49),"#,##0")," - ",TEXT(MAX('Calculations - Case Temp 1'!E6:E49),"#,##0"))))</f>
        <v>5,000 - 10,000</v>
      </c>
      <c r="E18" s="115"/>
      <c r="F18" s="127" t="str">
        <f t="shared" si="0"/>
        <v>Test duration used for projection (hour to hour)</v>
      </c>
      <c r="G18" s="138" t="str">
        <f>IF(OR('TM-21 Inputs'!I19="",F13=""),"-",IF(SUM('Calculations - Case Temp 1'!E6:E49)=0,"-",CONCATENATE(TEXT(MIN('Calculations - Case Temp 1'!E6:E49),"#,##0")," - ",TEXT(MAX('Calculations - Case Temp 1'!E6:E49),"#,##0"))))</f>
        <v>5,000 - 10,000</v>
      </c>
      <c r="H18" s="115"/>
      <c r="I18" s="127" t="str">
        <f t="shared" si="1"/>
        <v>Test duration used for projection (hour to hour)</v>
      </c>
      <c r="J18" s="138" t="str">
        <f>IF(OR('TM-21 Inputs'!I19="",I13=""),"-",IF(SUM('Calculations - Case Temp 1'!E6:E49)=0,"-",CONCATENATE(TEXT(MIN('Calculations - Case Temp 1'!E6:E49),"#,##0")," - ",TEXT(MAX('Calculations - Case Temp 1'!E6:E49),"#,##0"))))</f>
        <v>5,000 - 10,000</v>
      </c>
      <c r="K18" s="112"/>
      <c r="L18" s="144" t="s">
        <v>74</v>
      </c>
      <c r="M18" s="153">
        <f>IF(OR('TM-21 Projection'!L9="",'TM-21 Projection'!L9="N/A"),"-",'TM-21 Projection'!L9)</f>
        <v>1.0035634849403927</v>
      </c>
      <c r="N18" s="112"/>
      <c r="O18" s="108"/>
    </row>
    <row r="19" spans="1:15" s="116" customFormat="1" ht="28.5" x14ac:dyDescent="0.25">
      <c r="A19" s="107"/>
      <c r="B19" s="112"/>
      <c r="C19" s="126" t="s">
        <v>59</v>
      </c>
      <c r="D19" s="133">
        <f>IF('Product Inputs'!G6="","-",'Product Inputs'!G6)</f>
        <v>55</v>
      </c>
      <c r="E19" s="113"/>
      <c r="F19" s="126" t="str">
        <f t="shared" si="0"/>
        <v>Tested case temperature (⁰C)</v>
      </c>
      <c r="G19" s="133">
        <f>IF('Product Inputs'!J6="","-",'Product Inputs'!J6)</f>
        <v>85</v>
      </c>
      <c r="H19" s="113"/>
      <c r="I19" s="126" t="str">
        <f t="shared" si="1"/>
        <v>Tested case temperature (⁰C)</v>
      </c>
      <c r="J19" s="133">
        <f>IF('Product Inputs'!M6="","-",'Product Inputs'!M6)</f>
        <v>105</v>
      </c>
      <c r="K19" s="112"/>
      <c r="L19" s="143" t="s">
        <v>75</v>
      </c>
      <c r="M19" s="154">
        <f>IF(OR(M13&lt;0,M17&lt;0),"-",IF('TM-21 Projection'!L10="","-",'TM-21 Projection'!L10))</f>
        <v>3645.9789746034498</v>
      </c>
      <c r="N19" s="112"/>
      <c r="O19" s="108"/>
    </row>
    <row r="20" spans="1:15" s="116" customFormat="1" x14ac:dyDescent="0.25">
      <c r="A20" s="107"/>
      <c r="B20" s="112"/>
      <c r="C20" s="126" t="s">
        <v>60</v>
      </c>
      <c r="D20" s="134">
        <f>IF('Product Inputs'!G8="","-",'Product Inputs'!G8)</f>
        <v>8.8507686418449906E-7</v>
      </c>
      <c r="E20" s="113"/>
      <c r="F20" s="126" t="str">
        <f t="shared" si="0"/>
        <v>α</v>
      </c>
      <c r="G20" s="134">
        <f>IF('Product Inputs'!J8="","-",'Product Inputs'!J8)</f>
        <v>2.2447501424755326E-6</v>
      </c>
      <c r="H20" s="113"/>
      <c r="I20" s="126" t="str">
        <f t="shared" si="1"/>
        <v>α</v>
      </c>
      <c r="J20" s="134">
        <f>IF('Product Inputs'!M8="","-",'Product Inputs'!M8)</f>
        <v>2.7586001848447269E-6</v>
      </c>
      <c r="K20" s="112"/>
      <c r="L20" s="140" t="s">
        <v>2</v>
      </c>
      <c r="M20" s="149">
        <f>IF(OR(M13&lt;0,M17&lt;0),"-",IF('TM-21 Projection'!L11="","-",'TM-21 Projection'!L11))</f>
        <v>5.9197089421933677E-2</v>
      </c>
      <c r="N20" s="112"/>
      <c r="O20" s="108"/>
    </row>
    <row r="21" spans="1:15" s="116" customFormat="1" ht="18.75" x14ac:dyDescent="0.25">
      <c r="A21" s="107"/>
      <c r="B21" s="112"/>
      <c r="C21" s="128" t="s">
        <v>61</v>
      </c>
      <c r="D21" s="135">
        <f>IF('Product Inputs'!G9="","-",'Product Inputs'!G9)</f>
        <v>1.0005182821546403</v>
      </c>
      <c r="E21" s="113"/>
      <c r="F21" s="128" t="str">
        <f t="shared" si="0"/>
        <v>B</v>
      </c>
      <c r="G21" s="135">
        <f>IF('Product Inputs'!J9="","-",'Product Inputs'!J9)</f>
        <v>1.0035634849403927</v>
      </c>
      <c r="H21" s="113"/>
      <c r="I21" s="128" t="str">
        <f t="shared" si="1"/>
        <v>B</v>
      </c>
      <c r="J21" s="135">
        <f>IF('Product Inputs'!M9="","-",'Product Inputs'!M9)</f>
        <v>1.00171779333152</v>
      </c>
      <c r="K21" s="112"/>
      <c r="L21" s="144" t="s">
        <v>76</v>
      </c>
      <c r="M21" s="153">
        <f>IF('TM-21 Projection'!L12="","-",'TM-21 Projection'!L12)</f>
        <v>1.0020397267502352</v>
      </c>
      <c r="N21" s="112"/>
      <c r="O21" s="108"/>
    </row>
    <row r="22" spans="1:15" s="116" customFormat="1" ht="29.25" thickBot="1" x14ac:dyDescent="0.3">
      <c r="A22" s="107"/>
      <c r="B22" s="112"/>
      <c r="C22" s="129" t="str">
        <f>IF('TM-21 Inputs'!I35 = "", CONCATENATE("Reported LM",  IF('TM-21 Inputs'!I19="","(Dk) (hours)",CONCATENATE("(",ROUND('TM-21 Inputs'!I19/1000,0),"k) (hours)"))),CONCATENATE("Reported L",'TM-21 Inputs'!I35, IF('TM-21 Inputs'!I19="","(Dk) (hours)",CONCATENATE("(",ROUND('TM-21 Inputs'!I19/1000,0),"k) (hours)"))))</f>
        <v>Reported L90(10k) (hours)</v>
      </c>
      <c r="D22" s="136" t="str">
        <f>IF('Product Inputs'!G11="","-",'Product Inputs'!G11)</f>
        <v>&gt;60000</v>
      </c>
      <c r="E22" s="113"/>
      <c r="F22" s="129" t="str">
        <f>IF('TM-21 Inputs'!I35 = "", CONCATENATE("Reported LM",  IF('TM-21 Inputs'!I19="","(Dk) (hours)",CONCATENATE("(",ROUND('TM-21 Inputs'!I19/1000,0),"k) (hours)"))),CONCATENATE("Reported L",'TM-21 Inputs'!I35, IF('TM-21 Inputs'!I19="","(Dk) (hours)",CONCATENATE("(",ROUND('TM-21 Inputs'!I19/1000,0),"k) (hours)"))))</f>
        <v>Reported L90(10k) (hours)</v>
      </c>
      <c r="G22" s="136">
        <f>IF('Product Inputs'!J11="","-",'Product Inputs'!J11)</f>
        <v>49000</v>
      </c>
      <c r="H22" s="113"/>
      <c r="I22" s="129" t="str">
        <f>IF('TM-21 Inputs'!I35 = "", CONCATENATE("Reported LM",  IF('TM-21 Inputs'!I19="","(Dk) (hours)",CONCATENATE("(",ROUND('TM-21 Inputs'!I19/1000,0),"k) (hours)"))),CONCATENATE("Reported L",'TM-21 Inputs'!I35, IF('TM-21 Inputs'!I19="","(Dk) (hours)",CONCATENATE("(",ROUND('TM-21 Inputs'!I19/1000,0),"k) (hours)"))))</f>
        <v>Reported L90(10k) (hours)</v>
      </c>
      <c r="J22" s="136">
        <f>IF('Product Inputs'!M11="","-",'Product Inputs'!M11)</f>
        <v>39000</v>
      </c>
      <c r="K22" s="112"/>
      <c r="L22" s="139" t="s">
        <v>77</v>
      </c>
      <c r="M22" s="147">
        <f>IF('TM-21 Projection'!L13="","-",'TM-21 Projection'!L13)</f>
        <v>77</v>
      </c>
      <c r="N22" s="112"/>
      <c r="O22" s="108"/>
    </row>
    <row r="23" spans="1:15" s="116" customFormat="1" ht="18.75" x14ac:dyDescent="0.25">
      <c r="A23" s="107"/>
      <c r="B23" s="112"/>
      <c r="C23" s="202"/>
      <c r="D23" s="202"/>
      <c r="E23" s="202"/>
      <c r="F23" s="202"/>
      <c r="G23" s="202"/>
      <c r="H23" s="202"/>
      <c r="I23" s="202"/>
      <c r="J23" s="202"/>
      <c r="K23" s="112"/>
      <c r="L23" s="140" t="s">
        <v>78</v>
      </c>
      <c r="M23" s="155">
        <f>IF('TM-21 Projection'!L14="","-",'TM-21 Projection'!L14)</f>
        <v>350.15</v>
      </c>
      <c r="N23" s="112"/>
      <c r="O23" s="108"/>
    </row>
    <row r="24" spans="1:15" s="116" customFormat="1" ht="18.75" x14ac:dyDescent="0.25">
      <c r="A24" s="107"/>
      <c r="B24" s="112"/>
      <c r="C24" s="200"/>
      <c r="D24" s="200"/>
      <c r="E24" s="113"/>
      <c r="F24" s="200"/>
      <c r="G24" s="201"/>
      <c r="H24" s="113"/>
      <c r="I24" s="200"/>
      <c r="J24" s="201"/>
      <c r="K24" s="112"/>
      <c r="L24" s="145" t="s">
        <v>79</v>
      </c>
      <c r="M24" s="156">
        <f>IF(OR(M13&lt;0,M17&lt;0),"-",IF('TM-21 Projection'!L15="","-",'TM-21 Projection'!L15))</f>
        <v>1.7789217484155357E-6</v>
      </c>
      <c r="N24" s="112"/>
      <c r="O24" s="108"/>
    </row>
    <row r="25" spans="1:15" s="116" customFormat="1" ht="28.5" customHeight="1" thickBot="1" x14ac:dyDescent="0.3">
      <c r="A25" s="107"/>
      <c r="B25" s="112"/>
      <c r="C25" s="293" t="str">
        <f>IF(OR(M13&lt;0,M17&lt;0),"One or more of the tests resulted in negative L70 values. Please refer to sections 5.2.5 and 6.4 of IES TM-21-11 for instructions on how to estimate the reported lumen maintenance life (L70).","")</f>
        <v/>
      </c>
      <c r="D25" s="293"/>
      <c r="E25" s="293"/>
      <c r="F25" s="293"/>
      <c r="G25" s="293"/>
      <c r="H25" s="293"/>
      <c r="I25" s="293"/>
      <c r="J25" s="293"/>
      <c r="K25" s="112"/>
      <c r="L25" s="146"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L90(10k) at 77⁰C (hours)</v>
      </c>
      <c r="M25" s="157" t="str">
        <f>IF('TM-21 Inputs'!I42="","-",'TM-21 Inputs'!I42)</f>
        <v>&gt;60000</v>
      </c>
      <c r="N25" s="112"/>
      <c r="O25" s="108"/>
    </row>
    <row r="26" spans="1:15" ht="30.75" customHeight="1" x14ac:dyDescent="0.25">
      <c r="A26" s="107"/>
      <c r="B26" s="110"/>
      <c r="C26" s="110"/>
      <c r="D26" s="110"/>
      <c r="E26" s="110"/>
      <c r="F26" s="110"/>
      <c r="G26" s="110"/>
      <c r="H26" s="110"/>
      <c r="I26" s="110"/>
      <c r="J26" s="110"/>
      <c r="K26" s="110"/>
      <c r="N26" s="110"/>
      <c r="O26" s="108"/>
    </row>
    <row r="27" spans="1:15" ht="9" customHeight="1" x14ac:dyDescent="0.25">
      <c r="A27" s="107"/>
      <c r="B27" s="110"/>
      <c r="C27" s="110"/>
      <c r="D27" s="110"/>
      <c r="E27" s="110"/>
      <c r="F27" s="110"/>
      <c r="G27" s="110"/>
      <c r="H27" s="110"/>
      <c r="I27" s="110"/>
      <c r="J27" s="110"/>
      <c r="K27" s="110"/>
      <c r="L27" s="110"/>
      <c r="M27" s="110"/>
      <c r="N27" s="110"/>
      <c r="O27" s="108"/>
    </row>
    <row r="28" spans="1:15" ht="11.25" customHeight="1" x14ac:dyDescent="0.25">
      <c r="A28" s="107"/>
      <c r="B28" s="107"/>
      <c r="C28" s="107"/>
      <c r="D28" s="107"/>
      <c r="E28" s="107"/>
      <c r="F28" s="107"/>
      <c r="G28" s="107"/>
      <c r="H28" s="107"/>
      <c r="I28" s="107"/>
      <c r="J28" s="107"/>
      <c r="K28" s="107"/>
      <c r="L28" s="107"/>
      <c r="M28" s="107"/>
      <c r="N28" s="107"/>
      <c r="O28" s="107"/>
    </row>
    <row r="29" spans="1:15" ht="15.75" thickBot="1" x14ac:dyDescent="0.3">
      <c r="C29" s="118"/>
    </row>
    <row r="30" spans="1:15" ht="30.75" customHeight="1" thickBot="1" x14ac:dyDescent="0.3">
      <c r="D30" s="117"/>
      <c r="F30" s="294" t="s">
        <v>99</v>
      </c>
      <c r="G30" s="295"/>
      <c r="H30" s="296"/>
      <c r="I30" s="297"/>
      <c r="J30" s="256" t="s">
        <v>94</v>
      </c>
      <c r="K30" s="257"/>
      <c r="L30" s="257"/>
      <c r="M30" s="258"/>
    </row>
    <row r="31" spans="1:15" ht="31.5" customHeight="1" thickBot="1" x14ac:dyDescent="0.3">
      <c r="F31" s="294" t="s">
        <v>100</v>
      </c>
      <c r="G31" s="295"/>
      <c r="H31" s="296"/>
      <c r="I31" s="297"/>
      <c r="J31" s="259"/>
      <c r="K31" s="260"/>
      <c r="L31" s="260"/>
      <c r="M31" s="261"/>
    </row>
    <row r="32" spans="1:15" ht="15.75" thickBot="1" x14ac:dyDescent="0.3">
      <c r="F32" s="298" t="s">
        <v>101</v>
      </c>
      <c r="G32" s="299"/>
      <c r="H32" s="296"/>
      <c r="I32" s="297"/>
      <c r="J32" s="262"/>
      <c r="K32" s="263"/>
      <c r="L32" s="263"/>
      <c r="M32" s="264"/>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x14ac:dyDescent="0.3"/>
    <row r="4" spans="3:13" ht="15" customHeight="1" x14ac:dyDescent="0.25">
      <c r="C4" s="300" t="str">
        <f>IF('TM-21 Inputs'!I21="","Insert Case Temperature 1",CONCATENATE("Test Data for ",'TM-21 Inputs'!I21,"⁰C Case Temperature"))</f>
        <v>Test Data for 55⁰C Case Temperature</v>
      </c>
      <c r="D4" s="302"/>
      <c r="E4" s="302"/>
      <c r="F4" s="302"/>
      <c r="G4" s="302"/>
      <c r="H4" s="302"/>
      <c r="I4" s="302"/>
      <c r="J4" s="301"/>
    </row>
    <row r="5" spans="3:13" ht="60" customHeight="1" x14ac:dyDescent="0.25">
      <c r="C5" s="197" t="s">
        <v>97</v>
      </c>
      <c r="D5" s="29" t="s">
        <v>96</v>
      </c>
      <c r="E5" s="30" t="s">
        <v>3</v>
      </c>
      <c r="F5" s="31" t="s">
        <v>4</v>
      </c>
      <c r="G5" s="31" t="s">
        <v>7</v>
      </c>
      <c r="H5" s="31" t="s">
        <v>5</v>
      </c>
      <c r="I5" s="31" t="s">
        <v>6</v>
      </c>
      <c r="J5" s="32" t="s">
        <v>1</v>
      </c>
    </row>
    <row r="6" spans="3:13" x14ac:dyDescent="0.25">
      <c r="C6" s="195" t="str">
        <f>"-"</f>
        <v>-</v>
      </c>
      <c r="D6" s="195"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x14ac:dyDescent="0.25">
      <c r="C7" s="196" t="str">
        <f>"-"</f>
        <v>-</v>
      </c>
      <c r="D7" s="5" t="str">
        <f t="shared" ref="D7:D15" si="0">IF(OR(E6="",E7=""),"",E7-E6)</f>
        <v/>
      </c>
      <c r="E7" s="8" t="str">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
      </c>
      <c r="F7" s="3" t="str">
        <f>IF(E7="","",'TM-21 Inputs'!L11)</f>
        <v/>
      </c>
      <c r="G7" s="10" t="str">
        <f t="shared" ref="G7:G16" si="1">IF(F7="","",LN(F7))</f>
        <v/>
      </c>
      <c r="H7" s="13" t="str">
        <f t="shared" ref="H7:H16" si="2">IF(E7="","",(G7*E7))</f>
        <v/>
      </c>
      <c r="I7" s="17" t="str">
        <f t="shared" ref="I7:I16" si="3">IF(E7="","",E7^2)</f>
        <v/>
      </c>
      <c r="J7" s="18" t="str">
        <f t="shared" ref="J7:J16" si="4">IF(E7="","",E7*G7)</f>
        <v/>
      </c>
    </row>
    <row r="8" spans="3:13" x14ac:dyDescent="0.25">
      <c r="C8" s="5" t="str">
        <f>IF(OR(D7="",D8=""),"",ABS(D8-D7))</f>
        <v/>
      </c>
      <c r="D8" s="5" t="str">
        <f t="shared" si="0"/>
        <v/>
      </c>
      <c r="E8" s="8" t="str">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
      </c>
      <c r="F8" s="3" t="str">
        <f>IF(E8="","",'TM-21 Inputs'!L12)</f>
        <v/>
      </c>
      <c r="G8" s="10" t="str">
        <f t="shared" si="1"/>
        <v/>
      </c>
      <c r="H8" s="13" t="str">
        <f t="shared" si="2"/>
        <v/>
      </c>
      <c r="I8" s="17" t="str">
        <f t="shared" si="3"/>
        <v/>
      </c>
      <c r="J8" s="18" t="str">
        <f t="shared" si="4"/>
        <v/>
      </c>
    </row>
    <row r="9" spans="3:13" x14ac:dyDescent="0.25">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x14ac:dyDescent="0.25">
      <c r="C10" s="5" t="str">
        <f t="shared" si="5"/>
        <v/>
      </c>
      <c r="D10" s="5" t="str">
        <f t="shared" si="0"/>
        <v/>
      </c>
      <c r="E10" s="8" t="str">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
      </c>
      <c r="F10" s="3" t="str">
        <f>IF(E10="","",'TM-21 Inputs'!L14)</f>
        <v/>
      </c>
      <c r="G10" s="10" t="str">
        <f t="shared" si="1"/>
        <v/>
      </c>
      <c r="H10" s="13" t="str">
        <f t="shared" si="2"/>
        <v/>
      </c>
      <c r="I10" s="17" t="str">
        <f t="shared" si="3"/>
        <v/>
      </c>
      <c r="J10" s="18" t="str">
        <f t="shared" si="4"/>
        <v/>
      </c>
    </row>
    <row r="11" spans="3:13" x14ac:dyDescent="0.25">
      <c r="C11" s="5" t="str">
        <f t="shared" si="5"/>
        <v/>
      </c>
      <c r="D11" s="5" t="str">
        <f t="shared" si="0"/>
        <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0.99680000000000002</v>
      </c>
      <c r="G11" s="10">
        <f t="shared" si="1"/>
        <v>-3.2051309489483358E-3</v>
      </c>
      <c r="H11" s="13">
        <f t="shared" si="2"/>
        <v>-16.025654744741679</v>
      </c>
      <c r="I11" s="17">
        <f t="shared" si="3"/>
        <v>25000000</v>
      </c>
      <c r="J11" s="18">
        <f t="shared" si="4"/>
        <v>-16.025654744741679</v>
      </c>
    </row>
    <row r="12" spans="3:13" x14ac:dyDescent="0.25">
      <c r="C12" s="5" t="str">
        <f t="shared" si="5"/>
        <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0.99490000000000001</v>
      </c>
      <c r="G12" s="10">
        <f t="shared" si="1"/>
        <v>-5.1130493868230143E-3</v>
      </c>
      <c r="H12" s="13">
        <f t="shared" si="2"/>
        <v>-30.678296320938085</v>
      </c>
      <c r="I12" s="17">
        <f t="shared" si="3"/>
        <v>36000000</v>
      </c>
      <c r="J12" s="18">
        <f t="shared" si="4"/>
        <v>-30.678296320938085</v>
      </c>
    </row>
    <row r="13" spans="3:13" x14ac:dyDescent="0.25">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7000</v>
      </c>
      <c r="F13" s="3">
        <f>IF(E13="","",'TM-21 Inputs'!L17)</f>
        <v>0.99360000000000004</v>
      </c>
      <c r="G13" s="10">
        <f t="shared" si="1"/>
        <v>-6.4205678029226948E-3</v>
      </c>
      <c r="H13" s="13">
        <f t="shared" si="2"/>
        <v>-44.94397462045886</v>
      </c>
      <c r="I13" s="17">
        <f t="shared" si="3"/>
        <v>49000000</v>
      </c>
      <c r="J13" s="18">
        <f t="shared" si="4"/>
        <v>-44.94397462045886</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8000</v>
      </c>
      <c r="F14" s="3">
        <f>IF(E14="","",'TM-21 Inputs'!L18)</f>
        <v>0.99339999999999995</v>
      </c>
      <c r="G14" s="10">
        <f t="shared" si="1"/>
        <v>-6.6218763088869695E-3</v>
      </c>
      <c r="H14" s="13">
        <f t="shared" si="2"/>
        <v>-52.975010471095757</v>
      </c>
      <c r="I14" s="17">
        <f t="shared" si="3"/>
        <v>64000000</v>
      </c>
      <c r="J14" s="18">
        <f t="shared" si="4"/>
        <v>-52.975010471095757</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9000</v>
      </c>
      <c r="F15" s="3">
        <f>IF(E15="","",'TM-21 Inputs'!L19)</f>
        <v>0.99270000000000003</v>
      </c>
      <c r="G15" s="10">
        <f t="shared" si="1"/>
        <v>-7.3267753864608553E-3</v>
      </c>
      <c r="H15" s="13">
        <f t="shared" si="2"/>
        <v>-65.940978478147699</v>
      </c>
      <c r="I15" s="17">
        <f t="shared" si="3"/>
        <v>81000000</v>
      </c>
      <c r="J15" s="18">
        <f t="shared" si="4"/>
        <v>-65.940978478147699</v>
      </c>
    </row>
    <row r="16" spans="3:13" x14ac:dyDescent="0.25">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10000</v>
      </c>
      <c r="F16" s="3">
        <f>IF(E16="","",'TM-21 Inputs'!L20)</f>
        <v>0.99199999999999999</v>
      </c>
      <c r="G16" s="10">
        <f t="shared" si="1"/>
        <v>-8.0321716972642666E-3</v>
      </c>
      <c r="H16" s="13">
        <f t="shared" si="2"/>
        <v>-80.321716972642662</v>
      </c>
      <c r="I16" s="17">
        <f t="shared" si="3"/>
        <v>100000000</v>
      </c>
      <c r="J16" s="18">
        <f t="shared" si="4"/>
        <v>-80.321716972642662</v>
      </c>
    </row>
    <row r="17" spans="3:10" x14ac:dyDescent="0.2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2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2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2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2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2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2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2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2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2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2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2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2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2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2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2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2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2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2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2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2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2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2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2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2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2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2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2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2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2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2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2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2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25">
      <c r="C50" s="205"/>
      <c r="D50" s="205"/>
      <c r="E50" s="206"/>
      <c r="F50" s="207"/>
      <c r="G50" s="208"/>
      <c r="H50" s="209"/>
      <c r="I50" s="210"/>
      <c r="J50" s="211"/>
    </row>
    <row r="51" spans="3:10" x14ac:dyDescent="0.25">
      <c r="C51" s="205"/>
      <c r="D51" s="205"/>
      <c r="E51" s="206"/>
      <c r="F51" s="207"/>
      <c r="G51" s="208"/>
      <c r="H51" s="209"/>
      <c r="I51" s="210"/>
      <c r="J51" s="211"/>
    </row>
    <row r="52" spans="3:10" ht="15.75" thickBot="1" x14ac:dyDescent="0.3">
      <c r="C52" s="198" t="str">
        <f>IF(COUNTIFS(C6:C49,"&gt;96")=0,"PASS","FAIL")</f>
        <v>PASS</v>
      </c>
      <c r="D52" s="21" t="s">
        <v>8</v>
      </c>
      <c r="E52" s="22">
        <f t="shared" ref="E52:J52" si="20">SUM(E6:E49)</f>
        <v>45000</v>
      </c>
      <c r="F52" s="23">
        <f t="shared" si="20"/>
        <v>5.9634</v>
      </c>
      <c r="G52" s="24">
        <f t="shared" si="20"/>
        <v>-3.6719571531306137E-2</v>
      </c>
      <c r="H52" s="25">
        <f t="shared" si="20"/>
        <v>-290.88563160802477</v>
      </c>
      <c r="I52" s="26">
        <f t="shared" si="20"/>
        <v>355000000</v>
      </c>
      <c r="J52" s="27">
        <f t="shared" si="20"/>
        <v>-290.88563160802477</v>
      </c>
    </row>
    <row r="53" spans="3:10" ht="15.75" thickBot="1" x14ac:dyDescent="0.3"/>
    <row r="54" spans="3:10" ht="15.75" x14ac:dyDescent="0.25">
      <c r="E54" s="300" t="s">
        <v>9</v>
      </c>
      <c r="F54" s="301"/>
    </row>
    <row r="55" spans="3:10" x14ac:dyDescent="0.25">
      <c r="E55" s="33" t="s">
        <v>15</v>
      </c>
      <c r="F55" s="34">
        <f>((COUNTIF(E6:E26,"&gt;"&amp;0)*H52-(E52*G52))/((COUNTIF(E6:E26,"&gt;"&amp;0)*I52)-(E52^2)))</f>
        <v>-8.8507686418449906E-7</v>
      </c>
    </row>
    <row r="56" spans="3:10" x14ac:dyDescent="0.25">
      <c r="E56" s="35" t="s">
        <v>16</v>
      </c>
      <c r="F56" s="36">
        <f>(G52-(F55*E52))/COUNTIF(E6:E26,"&gt;"&amp;0)</f>
        <v>5.1814789283271981E-4</v>
      </c>
    </row>
    <row r="57" spans="3:10" x14ac:dyDescent="0.25">
      <c r="E57" s="37" t="s">
        <v>17</v>
      </c>
      <c r="F57" s="36">
        <f>-F55</f>
        <v>8.8507686418449906E-7</v>
      </c>
    </row>
    <row r="58" spans="3:10" x14ac:dyDescent="0.25">
      <c r="E58" s="35" t="s">
        <v>18</v>
      </c>
      <c r="F58" s="36">
        <f>EXP(F56)</f>
        <v>1.0005182821546403</v>
      </c>
    </row>
    <row r="59" spans="3:10" ht="30" customHeight="1" x14ac:dyDescent="0.25">
      <c r="E59" s="38" t="str">
        <f>CONCATENATE("Calculated L",'TM-21 Inputs'!I35," (hrs):")</f>
        <v>Calculated L90 (hrs):</v>
      </c>
      <c r="F59" s="39">
        <f>ROUND((LN(F58/('TM-21 Inputs'!$I$35/100))/F57),-3)</f>
        <v>120000</v>
      </c>
    </row>
    <row r="60" spans="3:10" ht="30.75" thickBot="1" x14ac:dyDescent="0.3">
      <c r="E60" s="40" t="str">
        <f>CONCATENATE("Reported L",'TM-21 Inputs'!I35," (hrs):")</f>
        <v>Reported L90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&gt;60000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x14ac:dyDescent="0.3"/>
    <row r="4" spans="3:10" ht="15" customHeight="1" x14ac:dyDescent="0.25">
      <c r="C4" s="300" t="str">
        <f>IF('TM-21 Inputs'!I22="","Insert Case Temperature 2",CONCATENATE("Test Data for ",'TM-21 Inputs'!I22,"⁰C Case Temperature"))</f>
        <v>Test Data for 85⁰C Case Temperature</v>
      </c>
      <c r="D4" s="302"/>
      <c r="E4" s="302"/>
      <c r="F4" s="302"/>
      <c r="G4" s="302"/>
      <c r="H4" s="302"/>
      <c r="I4" s="302"/>
      <c r="J4" s="301"/>
    </row>
    <row r="5" spans="3:10" ht="60" customHeight="1" x14ac:dyDescent="0.25">
      <c r="C5" s="197" t="s">
        <v>97</v>
      </c>
      <c r="D5" s="29" t="s">
        <v>96</v>
      </c>
      <c r="E5" s="30" t="s">
        <v>3</v>
      </c>
      <c r="F5" s="31" t="s">
        <v>4</v>
      </c>
      <c r="G5" s="31" t="s">
        <v>7</v>
      </c>
      <c r="H5" s="31" t="s">
        <v>5</v>
      </c>
      <c r="I5" s="31" t="s">
        <v>6</v>
      </c>
      <c r="J5" s="32" t="s">
        <v>1</v>
      </c>
    </row>
    <row r="6" spans="3:10" x14ac:dyDescent="0.25">
      <c r="C6" s="195" t="str">
        <f>"-"</f>
        <v>-</v>
      </c>
      <c r="D6" s="195" t="str">
        <f>"-"</f>
        <v>-</v>
      </c>
      <c r="E6" s="203"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25">
      <c r="C7" s="196" t="str">
        <f>"-"</f>
        <v>-</v>
      </c>
      <c r="D7" s="5" t="str">
        <f t="shared" ref="D7:D25" si="0">IF(OR(E6="",E7=""),"",E7-E6)</f>
        <v/>
      </c>
      <c r="E7" s="203" t="str">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
      </c>
      <c r="F7" s="3" t="str">
        <f>IF(E7="","",'TM-21 Inputs'!O11)</f>
        <v/>
      </c>
      <c r="G7" s="10" t="str">
        <f t="shared" ref="G7:G25" si="1">IF(E7="","",LN(F7))</f>
        <v/>
      </c>
      <c r="H7" s="13" t="str">
        <f t="shared" ref="H7:H25" si="2">IF(E7="","",(G7*E7))</f>
        <v/>
      </c>
      <c r="I7" s="17" t="str">
        <f t="shared" ref="I7:I25" si="3">IF(E7="","",E7^2)</f>
        <v/>
      </c>
      <c r="J7" s="18" t="str">
        <f t="shared" ref="J7:J25" si="4">IF(E7="","",E7*G7)</f>
        <v/>
      </c>
    </row>
    <row r="8" spans="3:10" x14ac:dyDescent="0.25">
      <c r="C8" s="5" t="str">
        <f>IF(OR(D7="",D8=""),"",ABS(D8-D7))</f>
        <v/>
      </c>
      <c r="D8" s="5" t="str">
        <f t="shared" si="0"/>
        <v/>
      </c>
      <c r="E8" s="203" t="str">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
      </c>
      <c r="F8" s="3" t="str">
        <f>IF(E8="","",'TM-21 Inputs'!O12)</f>
        <v/>
      </c>
      <c r="G8" s="10" t="str">
        <f t="shared" si="1"/>
        <v/>
      </c>
      <c r="H8" s="13" t="str">
        <f t="shared" si="2"/>
        <v/>
      </c>
      <c r="I8" s="17" t="str">
        <f t="shared" si="3"/>
        <v/>
      </c>
      <c r="J8" s="18" t="str">
        <f t="shared" si="4"/>
        <v/>
      </c>
    </row>
    <row r="9" spans="3:10" x14ac:dyDescent="0.25">
      <c r="C9" s="5" t="str">
        <f t="shared" ref="C9:C25" si="5">IF(OR(D8="",D9=""),"",ABS(D9-D8))</f>
        <v/>
      </c>
      <c r="D9" s="5" t="str">
        <f t="shared" si="0"/>
        <v/>
      </c>
      <c r="E9" s="203"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x14ac:dyDescent="0.25">
      <c r="C10" s="5" t="str">
        <f t="shared" si="5"/>
        <v/>
      </c>
      <c r="D10" s="5" t="str">
        <f t="shared" si="0"/>
        <v/>
      </c>
      <c r="E10" s="203" t="str">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
      </c>
      <c r="F10" s="3" t="str">
        <f>IF(E10="","",'TM-21 Inputs'!O14)</f>
        <v/>
      </c>
      <c r="G10" s="10" t="str">
        <f t="shared" si="1"/>
        <v/>
      </c>
      <c r="H10" s="13" t="str">
        <f t="shared" si="2"/>
        <v/>
      </c>
      <c r="I10" s="17" t="str">
        <f t="shared" si="3"/>
        <v/>
      </c>
      <c r="J10" s="18" t="str">
        <f t="shared" si="4"/>
        <v/>
      </c>
    </row>
    <row r="11" spans="3:10" x14ac:dyDescent="0.25">
      <c r="C11" s="5" t="str">
        <f t="shared" si="5"/>
        <v/>
      </c>
      <c r="D11" s="5" t="str">
        <f t="shared" si="0"/>
        <v/>
      </c>
      <c r="E11" s="203">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0.99199999999999999</v>
      </c>
      <c r="G11" s="10">
        <f t="shared" si="1"/>
        <v>-8.0321716972642666E-3</v>
      </c>
      <c r="H11" s="13">
        <f t="shared" si="2"/>
        <v>-40.160858486321331</v>
      </c>
      <c r="I11" s="17">
        <f t="shared" si="3"/>
        <v>25000000</v>
      </c>
      <c r="J11" s="18">
        <f t="shared" si="4"/>
        <v>-40.160858486321331</v>
      </c>
    </row>
    <row r="12" spans="3:10" x14ac:dyDescent="0.25">
      <c r="C12" s="5" t="str">
        <f t="shared" si="5"/>
        <v/>
      </c>
      <c r="D12" s="5">
        <f t="shared" si="0"/>
        <v>1000</v>
      </c>
      <c r="E12" s="203">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0.98980000000000001</v>
      </c>
      <c r="G12" s="10">
        <f t="shared" si="1"/>
        <v>-1.0252376464351353E-2</v>
      </c>
      <c r="H12" s="13">
        <f t="shared" si="2"/>
        <v>-61.514258786108115</v>
      </c>
      <c r="I12" s="17">
        <f t="shared" si="3"/>
        <v>36000000</v>
      </c>
      <c r="J12" s="18">
        <f t="shared" si="4"/>
        <v>-61.514258786108115</v>
      </c>
    </row>
    <row r="13" spans="3:10" x14ac:dyDescent="0.25">
      <c r="C13" s="5">
        <f t="shared" si="5"/>
        <v>0</v>
      </c>
      <c r="D13" s="5">
        <f t="shared" si="0"/>
        <v>1000</v>
      </c>
      <c r="E13" s="203">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7000</v>
      </c>
      <c r="F13" s="3">
        <f>IF(E13="","",'TM-21 Inputs'!O17)</f>
        <v>0.98850000000000005</v>
      </c>
      <c r="G13" s="10">
        <f t="shared" si="1"/>
        <v>-1.1566636371465405E-2</v>
      </c>
      <c r="H13" s="13">
        <f t="shared" si="2"/>
        <v>-80.966454600257833</v>
      </c>
      <c r="I13" s="17">
        <f t="shared" si="3"/>
        <v>49000000</v>
      </c>
      <c r="J13" s="18">
        <f t="shared" si="4"/>
        <v>-80.966454600257833</v>
      </c>
    </row>
    <row r="14" spans="3:10" x14ac:dyDescent="0.25">
      <c r="C14" s="5">
        <f t="shared" si="5"/>
        <v>0</v>
      </c>
      <c r="D14" s="5">
        <f t="shared" si="0"/>
        <v>1000</v>
      </c>
      <c r="E14" s="203">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8000</v>
      </c>
      <c r="F14" s="3">
        <f>IF(E14="","",'TM-21 Inputs'!O18)</f>
        <v>0.98629999999999995</v>
      </c>
      <c r="G14" s="10">
        <f t="shared" si="1"/>
        <v>-1.379471102218926E-2</v>
      </c>
      <c r="H14" s="13">
        <f t="shared" si="2"/>
        <v>-110.35768817751408</v>
      </c>
      <c r="I14" s="17">
        <f t="shared" si="3"/>
        <v>64000000</v>
      </c>
      <c r="J14" s="18">
        <f t="shared" si="4"/>
        <v>-110.35768817751408</v>
      </c>
    </row>
    <row r="15" spans="3:10" x14ac:dyDescent="0.25">
      <c r="C15" s="5">
        <f t="shared" si="5"/>
        <v>0</v>
      </c>
      <c r="D15" s="5">
        <f t="shared" si="0"/>
        <v>1000</v>
      </c>
      <c r="E15" s="203">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9000</v>
      </c>
      <c r="F15" s="3">
        <f>IF(E15="","",'TM-21 Inputs'!O19)</f>
        <v>0.98370000000000002</v>
      </c>
      <c r="G15" s="10">
        <f t="shared" si="1"/>
        <v>-1.6434306463424773E-2</v>
      </c>
      <c r="H15" s="13">
        <f t="shared" si="2"/>
        <v>-147.90875817082295</v>
      </c>
      <c r="I15" s="17">
        <f t="shared" si="3"/>
        <v>81000000</v>
      </c>
      <c r="J15" s="18">
        <f t="shared" si="4"/>
        <v>-147.90875817082295</v>
      </c>
    </row>
    <row r="16" spans="3:10" x14ac:dyDescent="0.25">
      <c r="C16" s="5">
        <f t="shared" si="5"/>
        <v>0</v>
      </c>
      <c r="D16" s="5">
        <f t="shared" si="0"/>
        <v>1000</v>
      </c>
      <c r="E16" s="203">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10000</v>
      </c>
      <c r="F16" s="3">
        <f>IF(E16="","",'TM-21 Inputs'!O20)</f>
        <v>0.98060000000000003</v>
      </c>
      <c r="G16" s="10">
        <f t="shared" si="1"/>
        <v>-1.9590649765004148E-2</v>
      </c>
      <c r="H16" s="13">
        <f t="shared" si="2"/>
        <v>-195.90649765004147</v>
      </c>
      <c r="I16" s="17">
        <f t="shared" si="3"/>
        <v>100000000</v>
      </c>
      <c r="J16" s="18">
        <f t="shared" si="4"/>
        <v>-195.90649765004147</v>
      </c>
    </row>
    <row r="17" spans="3:10" x14ac:dyDescent="0.25">
      <c r="C17" s="5" t="str">
        <f t="shared" si="5"/>
        <v/>
      </c>
      <c r="D17" s="5" t="str">
        <f t="shared" si="0"/>
        <v/>
      </c>
      <c r="E17" s="203"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25">
      <c r="C18" s="5" t="str">
        <f t="shared" si="5"/>
        <v/>
      </c>
      <c r="D18" s="5" t="str">
        <f t="shared" si="0"/>
        <v/>
      </c>
      <c r="E18" s="203"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25">
      <c r="C19" s="5" t="str">
        <f t="shared" si="5"/>
        <v/>
      </c>
      <c r="D19" s="5" t="str">
        <f t="shared" si="0"/>
        <v/>
      </c>
      <c r="E19" s="203"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25">
      <c r="C20" s="5" t="str">
        <f t="shared" si="5"/>
        <v/>
      </c>
      <c r="D20" s="5" t="str">
        <f t="shared" si="0"/>
        <v/>
      </c>
      <c r="E20" s="203"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25">
      <c r="C21" s="5" t="str">
        <f t="shared" si="5"/>
        <v/>
      </c>
      <c r="D21" s="5" t="str">
        <f t="shared" si="0"/>
        <v/>
      </c>
      <c r="E21" s="203"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25">
      <c r="C22" s="5" t="str">
        <f t="shared" si="5"/>
        <v/>
      </c>
      <c r="D22" s="5" t="str">
        <f t="shared" si="0"/>
        <v/>
      </c>
      <c r="E22" s="203"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25">
      <c r="C23" s="5" t="str">
        <f t="shared" si="5"/>
        <v/>
      </c>
      <c r="D23" s="5" t="str">
        <f t="shared" si="0"/>
        <v/>
      </c>
      <c r="E23" s="203"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25">
      <c r="C24" s="5" t="str">
        <f t="shared" si="5"/>
        <v/>
      </c>
      <c r="D24" s="5" t="str">
        <f t="shared" si="0"/>
        <v/>
      </c>
      <c r="E24" s="203"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25">
      <c r="C25" s="6" t="str">
        <f t="shared" si="5"/>
        <v/>
      </c>
      <c r="D25" s="6" t="str">
        <f t="shared" si="0"/>
        <v/>
      </c>
      <c r="E25" s="203"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25">
      <c r="C26" s="6" t="str">
        <f t="shared" ref="C26:C49" si="6">IF(OR(D25="",D26=""),"",ABS(D26-D25))</f>
        <v/>
      </c>
      <c r="D26" s="6" t="str">
        <f t="shared" ref="D26:D49" si="7">IF(OR(E25="",E26=""),"",E26-E25)</f>
        <v/>
      </c>
      <c r="E26" s="203"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25">
      <c r="C27" s="6" t="str">
        <f t="shared" si="6"/>
        <v/>
      </c>
      <c r="D27" s="6" t="str">
        <f t="shared" si="7"/>
        <v/>
      </c>
      <c r="E27" s="203"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25">
      <c r="C28" s="6" t="str">
        <f t="shared" si="6"/>
        <v/>
      </c>
      <c r="D28" s="6" t="str">
        <f t="shared" si="7"/>
        <v/>
      </c>
      <c r="E28" s="203"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25">
      <c r="C29" s="6" t="str">
        <f t="shared" si="6"/>
        <v/>
      </c>
      <c r="D29" s="6" t="str">
        <f t="shared" si="7"/>
        <v/>
      </c>
      <c r="E29" s="203"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25">
      <c r="C30" s="6" t="str">
        <f t="shared" si="6"/>
        <v/>
      </c>
      <c r="D30" s="6" t="str">
        <f t="shared" si="7"/>
        <v/>
      </c>
      <c r="E30" s="203"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25">
      <c r="C31" s="6" t="str">
        <f t="shared" si="6"/>
        <v/>
      </c>
      <c r="D31" s="6" t="str">
        <f t="shared" si="7"/>
        <v/>
      </c>
      <c r="E31" s="203"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25">
      <c r="C32" s="6" t="str">
        <f t="shared" si="6"/>
        <v/>
      </c>
      <c r="D32" s="6" t="str">
        <f t="shared" si="7"/>
        <v/>
      </c>
      <c r="E32" s="203"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25">
      <c r="C33" s="6" t="str">
        <f t="shared" si="6"/>
        <v/>
      </c>
      <c r="D33" s="6" t="str">
        <f t="shared" si="7"/>
        <v/>
      </c>
      <c r="E33" s="203"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25">
      <c r="C34" s="6" t="str">
        <f t="shared" si="6"/>
        <v/>
      </c>
      <c r="D34" s="6" t="str">
        <f t="shared" si="7"/>
        <v/>
      </c>
      <c r="E34" s="203"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25">
      <c r="C35" s="6" t="str">
        <f t="shared" si="6"/>
        <v/>
      </c>
      <c r="D35" s="6" t="str">
        <f t="shared" si="7"/>
        <v/>
      </c>
      <c r="E35" s="203"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25">
      <c r="C36" s="6" t="str">
        <f t="shared" si="6"/>
        <v/>
      </c>
      <c r="D36" s="6" t="str">
        <f t="shared" si="7"/>
        <v/>
      </c>
      <c r="E36" s="203"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25">
      <c r="C37" s="6" t="str">
        <f t="shared" si="6"/>
        <v/>
      </c>
      <c r="D37" s="6" t="str">
        <f t="shared" si="7"/>
        <v/>
      </c>
      <c r="E37" s="203"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25">
      <c r="C38" s="6" t="str">
        <f t="shared" si="6"/>
        <v/>
      </c>
      <c r="D38" s="6" t="str">
        <f t="shared" si="7"/>
        <v/>
      </c>
      <c r="E38" s="203"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25">
      <c r="C39" s="6" t="str">
        <f t="shared" si="6"/>
        <v/>
      </c>
      <c r="D39" s="6" t="str">
        <f t="shared" si="7"/>
        <v/>
      </c>
      <c r="E39" s="203"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25">
      <c r="C40" s="6" t="str">
        <f t="shared" si="6"/>
        <v/>
      </c>
      <c r="D40" s="6" t="str">
        <f t="shared" si="7"/>
        <v/>
      </c>
      <c r="E40" s="203"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25">
      <c r="C41" s="6" t="str">
        <f t="shared" si="6"/>
        <v/>
      </c>
      <c r="D41" s="6" t="str">
        <f t="shared" si="7"/>
        <v/>
      </c>
      <c r="E41" s="203"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25">
      <c r="C42" s="6" t="str">
        <f t="shared" si="6"/>
        <v/>
      </c>
      <c r="D42" s="6" t="str">
        <f t="shared" si="7"/>
        <v/>
      </c>
      <c r="E42" s="203"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25">
      <c r="C43" s="6" t="str">
        <f t="shared" si="6"/>
        <v/>
      </c>
      <c r="D43" s="6" t="str">
        <f t="shared" si="7"/>
        <v/>
      </c>
      <c r="E43" s="203"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25">
      <c r="C44" s="6" t="str">
        <f t="shared" si="6"/>
        <v/>
      </c>
      <c r="D44" s="6" t="str">
        <f t="shared" si="7"/>
        <v/>
      </c>
      <c r="E44" s="203"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25">
      <c r="C45" s="6" t="str">
        <f t="shared" si="6"/>
        <v/>
      </c>
      <c r="D45" s="6" t="str">
        <f t="shared" si="7"/>
        <v/>
      </c>
      <c r="E45" s="203"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25">
      <c r="C46" s="6" t="str">
        <f t="shared" si="6"/>
        <v/>
      </c>
      <c r="D46" s="6" t="str">
        <f t="shared" si="7"/>
        <v/>
      </c>
      <c r="E46" s="203"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25">
      <c r="C47" s="6" t="str">
        <f t="shared" si="6"/>
        <v/>
      </c>
      <c r="D47" s="6" t="str">
        <f t="shared" si="7"/>
        <v/>
      </c>
      <c r="E47" s="203"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25">
      <c r="C48" s="6" t="str">
        <f t="shared" si="6"/>
        <v/>
      </c>
      <c r="D48" s="6" t="str">
        <f t="shared" si="7"/>
        <v/>
      </c>
      <c r="E48" s="203"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25">
      <c r="C49" s="6" t="str">
        <f t="shared" si="6"/>
        <v/>
      </c>
      <c r="D49" s="6" t="str">
        <f t="shared" si="7"/>
        <v/>
      </c>
      <c r="E49" s="203"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25">
      <c r="C50" s="6"/>
      <c r="D50" s="6"/>
      <c r="E50" s="204"/>
      <c r="F50" s="4"/>
      <c r="G50" s="11"/>
      <c r="H50" s="14"/>
      <c r="I50" s="19"/>
      <c r="J50" s="20"/>
    </row>
    <row r="51" spans="3:10" customFormat="1" x14ac:dyDescent="0.25">
      <c r="C51" s="6"/>
      <c r="D51" s="6"/>
      <c r="E51" s="204"/>
      <c r="F51" s="4"/>
      <c r="G51" s="11"/>
      <c r="H51" s="14"/>
      <c r="I51" s="19"/>
      <c r="J51" s="20"/>
    </row>
    <row r="52" spans="3:10" ht="15.75" thickBot="1" x14ac:dyDescent="0.3">
      <c r="C52" s="198" t="str">
        <f>IF(COUNTIFS(C6:C49,"&gt;96")=0,"PASS","FAIL")</f>
        <v>PASS</v>
      </c>
      <c r="D52" s="21" t="s">
        <v>8</v>
      </c>
      <c r="E52" s="22">
        <f t="shared" ref="E52:J52" si="12">SUM(E6:E49)</f>
        <v>45000</v>
      </c>
      <c r="F52" s="23">
        <f t="shared" si="12"/>
        <v>5.9208999999999996</v>
      </c>
      <c r="G52" s="24">
        <f t="shared" si="12"/>
        <v>-7.9670851783699204E-2</v>
      </c>
      <c r="H52" s="25">
        <f t="shared" si="12"/>
        <v>-636.81451587106585</v>
      </c>
      <c r="I52" s="26">
        <f t="shared" si="12"/>
        <v>355000000</v>
      </c>
      <c r="J52" s="27">
        <f t="shared" si="12"/>
        <v>-636.81451587106585</v>
      </c>
    </row>
    <row r="53" spans="3:10" ht="15.75" thickBot="1" x14ac:dyDescent="0.3"/>
    <row r="54" spans="3:10" ht="15.75" x14ac:dyDescent="0.25">
      <c r="E54" s="300" t="s">
        <v>9</v>
      </c>
      <c r="F54" s="301"/>
    </row>
    <row r="55" spans="3:10" x14ac:dyDescent="0.25">
      <c r="E55" s="33" t="s">
        <v>15</v>
      </c>
      <c r="F55" s="34">
        <f>IF('TM-21 Inputs'!I22="","",((COUNTIF(E6:E25,"&gt;"&amp;0)*H52-(E52*G52))/((COUNTIF(E6:E25,"&gt;"&amp;0)*I52)-(E52^2))))</f>
        <v>-2.2447501424755326E-6</v>
      </c>
    </row>
    <row r="56" spans="3:10" x14ac:dyDescent="0.25">
      <c r="E56" s="35" t="s">
        <v>16</v>
      </c>
      <c r="F56" s="36">
        <f>IF('TM-21 Inputs'!I22="","",(G52-(F55*E52))/COUNTIF(E6:E25,"&gt;"&amp;0))</f>
        <v>3.557150771283294E-3</v>
      </c>
    </row>
    <row r="57" spans="3:10" x14ac:dyDescent="0.25">
      <c r="E57" s="37" t="s">
        <v>17</v>
      </c>
      <c r="F57" s="36">
        <f>IF('TM-21 Inputs'!I22="","",-F55)</f>
        <v>2.2447501424755326E-6</v>
      </c>
    </row>
    <row r="58" spans="3:10" x14ac:dyDescent="0.25">
      <c r="E58" s="35" t="s">
        <v>18</v>
      </c>
      <c r="F58" s="36">
        <f>IF('TM-21 Inputs'!I22="","",EXP(F56))</f>
        <v>1.0035634849403927</v>
      </c>
    </row>
    <row r="59" spans="3:10" ht="30" customHeight="1" x14ac:dyDescent="0.25">
      <c r="E59" s="38" t="str">
        <f>CONCATENATE("Calculated L",'TM-21 Inputs'!I35," (hrs):")</f>
        <v>Calculated L90 (hrs):</v>
      </c>
      <c r="F59" s="39">
        <f>IF('TM-21 Inputs'!I22="","",ROUND((LN(F58/('TM-21 Inputs'!$I$35/100))/F57),-3))</f>
        <v>49000</v>
      </c>
    </row>
    <row r="60" spans="3:10" ht="30.75" thickBot="1" x14ac:dyDescent="0.3">
      <c r="E60" s="40" t="str">
        <f>CONCATENATE("Reported L",'TM-21 Inputs'!I35," (hrs):")</f>
        <v>Reported L90 (hrs):</v>
      </c>
      <c r="F60" s="28">
        <f>IF('TM-21 Inputs'!I22="","",IF(OR(AND('TM-21 Inputs'!$I$18&gt;=20,$F$59&lt;6*'TM-21 Inputs'!$I$19),AND('TM-21 Inputs'!$I$18&gt;=10,'TM-21 Inputs'!$I$18&lt;=19,$F$59&lt;5.5*'TM-21 Inputs'!$I$19)),ROUND(F59,-3),IF('TM-21 Inputs'!$I$18&gt;=20,CONCATENATE("&gt;",ROUND((6*'TM-21 Inputs'!$I$19),-3)),IF(AND('TM-21 Inputs'!$I$18&gt;=10,'TM-21 Inputs'!$I$18&lt;=19),CONCATENATE("&gt;",ROUND((5.5*'TM-21 Inputs'!$I$19),-3)),"error"))))</f>
        <v>49000</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x14ac:dyDescent="0.3"/>
    <row r="4" spans="3:10" ht="15" customHeight="1" x14ac:dyDescent="0.25">
      <c r="C4" s="300" t="str">
        <f>IF('TM-21 Inputs'!I23="","Insert Case Temperature 3",CONCATENATE("Test Data for ",'TM-21 Inputs'!I23,"⁰C Case Temperature"))</f>
        <v>Test Data for 105⁰C Case Temperature</v>
      </c>
      <c r="D4" s="302"/>
      <c r="E4" s="302"/>
      <c r="F4" s="302"/>
      <c r="G4" s="302"/>
      <c r="H4" s="302"/>
      <c r="I4" s="302"/>
      <c r="J4" s="301"/>
    </row>
    <row r="5" spans="3:10" ht="60" customHeight="1" x14ac:dyDescent="0.25">
      <c r="C5" s="197" t="s">
        <v>97</v>
      </c>
      <c r="D5" s="29" t="s">
        <v>96</v>
      </c>
      <c r="E5" s="30" t="s">
        <v>3</v>
      </c>
      <c r="F5" s="31" t="s">
        <v>4</v>
      </c>
      <c r="G5" s="31" t="s">
        <v>7</v>
      </c>
      <c r="H5" s="31" t="s">
        <v>5</v>
      </c>
      <c r="I5" s="31" t="s">
        <v>6</v>
      </c>
      <c r="J5" s="32" t="s">
        <v>1</v>
      </c>
    </row>
    <row r="6" spans="3:10" x14ac:dyDescent="0.25">
      <c r="C6" s="195" t="str">
        <f>"-"</f>
        <v>-</v>
      </c>
      <c r="D6" s="195"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25">
      <c r="C7" s="196" t="str">
        <f>"-"</f>
        <v>-</v>
      </c>
      <c r="D7" s="5" t="str">
        <f t="shared" ref="D7:D25" si="0">IF(OR(E6="",E7=""),"",E7-E6)</f>
        <v/>
      </c>
      <c r="E7" s="7" t="str">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
      </c>
      <c r="F7" s="3" t="str">
        <f>IF(E7="","",'TM-21 Inputs'!R11)</f>
        <v/>
      </c>
      <c r="G7" s="10" t="str">
        <f t="shared" ref="G7:G25" si="1">IF(E7="","",LN(F7))</f>
        <v/>
      </c>
      <c r="H7" s="13" t="str">
        <f t="shared" ref="H7:H25" si="2">IF(E7="","",(G7*E7))</f>
        <v/>
      </c>
      <c r="I7" s="17" t="str">
        <f t="shared" ref="I7:I25" si="3">IF(E7="","",E7^2)</f>
        <v/>
      </c>
      <c r="J7" s="18" t="str">
        <f t="shared" ref="J7:J25" si="4">IF(E7="","",E7*G7)</f>
        <v/>
      </c>
    </row>
    <row r="8" spans="3:10" x14ac:dyDescent="0.25">
      <c r="C8" s="5" t="str">
        <f>IF(OR(D7="",D8=""),"",ABS(D8-D7))</f>
        <v/>
      </c>
      <c r="D8" s="5" t="str">
        <f t="shared" si="0"/>
        <v/>
      </c>
      <c r="E8" s="7" t="str">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
      </c>
      <c r="F8" s="3" t="str">
        <f>IF(E8="","",'TM-21 Inputs'!R12)</f>
        <v/>
      </c>
      <c r="G8" s="10" t="str">
        <f t="shared" si="1"/>
        <v/>
      </c>
      <c r="H8" s="13" t="str">
        <f t="shared" si="2"/>
        <v/>
      </c>
      <c r="I8" s="17" t="str">
        <f t="shared" si="3"/>
        <v/>
      </c>
      <c r="J8" s="18" t="str">
        <f t="shared" si="4"/>
        <v/>
      </c>
    </row>
    <row r="9" spans="3:10" x14ac:dyDescent="0.25">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x14ac:dyDescent="0.25">
      <c r="C10" s="5" t="str">
        <f t="shared" si="5"/>
        <v/>
      </c>
      <c r="D10" s="5" t="str">
        <f t="shared" si="0"/>
        <v/>
      </c>
      <c r="E10" s="7" t="str">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
      </c>
      <c r="F10" s="3" t="str">
        <f>IF(E10="","",'TM-21 Inputs'!R14)</f>
        <v/>
      </c>
      <c r="G10" s="10" t="str">
        <f t="shared" si="1"/>
        <v/>
      </c>
      <c r="H10" s="13" t="str">
        <f t="shared" si="2"/>
        <v/>
      </c>
      <c r="I10" s="17" t="str">
        <f t="shared" si="3"/>
        <v/>
      </c>
      <c r="J10" s="18" t="str">
        <f t="shared" si="4"/>
        <v/>
      </c>
    </row>
    <row r="11" spans="3:10" x14ac:dyDescent="0.25">
      <c r="C11" s="5" t="str">
        <f t="shared" si="5"/>
        <v/>
      </c>
      <c r="D11" s="5" t="str">
        <f t="shared" si="0"/>
        <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0.98750000000000004</v>
      </c>
      <c r="G11" s="10">
        <f t="shared" si="1"/>
        <v>-1.2578782206860073E-2</v>
      </c>
      <c r="H11" s="13">
        <f t="shared" si="2"/>
        <v>-62.893911034300366</v>
      </c>
      <c r="I11" s="17">
        <f t="shared" si="3"/>
        <v>25000000</v>
      </c>
      <c r="J11" s="18">
        <f t="shared" si="4"/>
        <v>-62.893911034300366</v>
      </c>
    </row>
    <row r="12" spans="3:10" x14ac:dyDescent="0.25">
      <c r="C12" s="5" t="str">
        <f t="shared" si="5"/>
        <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0.98519999999999996</v>
      </c>
      <c r="G12" s="10">
        <f t="shared" si="1"/>
        <v>-1.4910612735754241E-2</v>
      </c>
      <c r="H12" s="13">
        <f t="shared" si="2"/>
        <v>-89.463676414525438</v>
      </c>
      <c r="I12" s="17">
        <f t="shared" si="3"/>
        <v>36000000</v>
      </c>
      <c r="J12" s="18">
        <f t="shared" si="4"/>
        <v>-89.463676414525438</v>
      </c>
    </row>
    <row r="13" spans="3:10" x14ac:dyDescent="0.25">
      <c r="C13" s="5">
        <f t="shared" si="5"/>
        <v>0</v>
      </c>
      <c r="D13" s="5">
        <f t="shared" si="0"/>
        <v>1000</v>
      </c>
      <c r="E13" s="7">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7000</v>
      </c>
      <c r="F13" s="3">
        <f>IF(E13="","",'TM-21 Inputs'!R17)</f>
        <v>0.98309999999999997</v>
      </c>
      <c r="G13" s="10">
        <f t="shared" si="1"/>
        <v>-1.7044434609258474E-2</v>
      </c>
      <c r="H13" s="13">
        <f t="shared" si="2"/>
        <v>-119.31104226480932</v>
      </c>
      <c r="I13" s="17">
        <f t="shared" si="3"/>
        <v>49000000</v>
      </c>
      <c r="J13" s="18">
        <f t="shared" si="4"/>
        <v>-119.31104226480932</v>
      </c>
    </row>
    <row r="14" spans="3:10" x14ac:dyDescent="0.25">
      <c r="C14" s="5">
        <f t="shared" si="5"/>
        <v>0</v>
      </c>
      <c r="D14" s="5">
        <f t="shared" si="0"/>
        <v>1000</v>
      </c>
      <c r="E14" s="7">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8000</v>
      </c>
      <c r="F14" s="3">
        <f>IF(E14="","",'TM-21 Inputs'!R18)</f>
        <v>0.98029999999999995</v>
      </c>
      <c r="G14" s="10">
        <f t="shared" si="1"/>
        <v>-1.9896631714456645E-2</v>
      </c>
      <c r="H14" s="13">
        <f t="shared" si="2"/>
        <v>-159.17305371565317</v>
      </c>
      <c r="I14" s="17">
        <f t="shared" si="3"/>
        <v>64000000</v>
      </c>
      <c r="J14" s="18">
        <f t="shared" si="4"/>
        <v>-159.17305371565317</v>
      </c>
    </row>
    <row r="15" spans="3:10" x14ac:dyDescent="0.25">
      <c r="C15" s="5">
        <f t="shared" si="5"/>
        <v>0</v>
      </c>
      <c r="D15" s="5">
        <f t="shared" si="0"/>
        <v>1000</v>
      </c>
      <c r="E15" s="7">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9000</v>
      </c>
      <c r="F15" s="3">
        <f>IF(E15="","",'TM-21 Inputs'!R19)</f>
        <v>0.97740000000000005</v>
      </c>
      <c r="G15" s="10">
        <f t="shared" si="1"/>
        <v>-2.2859294146082558E-2</v>
      </c>
      <c r="H15" s="13">
        <f t="shared" si="2"/>
        <v>-205.73364731474302</v>
      </c>
      <c r="I15" s="17">
        <f t="shared" si="3"/>
        <v>81000000</v>
      </c>
      <c r="J15" s="18">
        <f t="shared" si="4"/>
        <v>-205.73364731474302</v>
      </c>
    </row>
    <row r="16" spans="3:10" x14ac:dyDescent="0.25">
      <c r="C16" s="5">
        <f t="shared" si="5"/>
        <v>0</v>
      </c>
      <c r="D16" s="5">
        <f t="shared" si="0"/>
        <v>1000</v>
      </c>
      <c r="E16" s="7">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10000</v>
      </c>
      <c r="F16" s="3">
        <f>IF(E16="","",'TM-21 Inputs'!R20)</f>
        <v>0.9738</v>
      </c>
      <c r="G16" s="10">
        <f t="shared" si="1"/>
        <v>-2.6549335233536524E-2</v>
      </c>
      <c r="H16" s="13">
        <f t="shared" si="2"/>
        <v>-265.49335233536522</v>
      </c>
      <c r="I16" s="17">
        <f t="shared" si="3"/>
        <v>100000000</v>
      </c>
      <c r="J16" s="18">
        <f t="shared" si="4"/>
        <v>-265.49335233536522</v>
      </c>
    </row>
    <row r="17" spans="3:10" x14ac:dyDescent="0.2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2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2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2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2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2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2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2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2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2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2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2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2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2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2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2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2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2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2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2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2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2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2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2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2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2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2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2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2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2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2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2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2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25">
      <c r="C50" s="5"/>
      <c r="D50" s="5"/>
      <c r="E50" s="8"/>
      <c r="F50" s="3"/>
      <c r="G50" s="10"/>
      <c r="H50" s="13"/>
      <c r="I50" s="17"/>
      <c r="J50" s="18"/>
    </row>
    <row r="51" spans="3:10" x14ac:dyDescent="0.25">
      <c r="C51" s="5"/>
      <c r="D51" s="5"/>
      <c r="E51" s="8"/>
      <c r="F51" s="3"/>
      <c r="G51" s="10"/>
      <c r="H51" s="13"/>
      <c r="I51" s="17"/>
      <c r="J51" s="18"/>
    </row>
    <row r="52" spans="3:10" ht="15.75" thickBot="1" x14ac:dyDescent="0.3">
      <c r="C52" s="198" t="str">
        <f>IF(COUNTIFS(C6:C49,"&gt;96")=0,"PASS","FAIL")</f>
        <v>PASS</v>
      </c>
      <c r="D52" s="21" t="s">
        <v>8</v>
      </c>
      <c r="E52" s="22">
        <f t="shared" ref="E52:J52" si="12">SUM(E6:E49)</f>
        <v>45000</v>
      </c>
      <c r="F52" s="23">
        <f t="shared" si="12"/>
        <v>5.8872999999999998</v>
      </c>
      <c r="G52" s="24">
        <f t="shared" si="12"/>
        <v>-0.11383909064594852</v>
      </c>
      <c r="H52" s="25">
        <f t="shared" si="12"/>
        <v>-902.06868307939658</v>
      </c>
      <c r="I52" s="26">
        <f t="shared" si="12"/>
        <v>355000000</v>
      </c>
      <c r="J52" s="27">
        <f t="shared" si="12"/>
        <v>-902.06868307939658</v>
      </c>
    </row>
    <row r="53" spans="3:10" ht="15.75" thickBot="1" x14ac:dyDescent="0.3"/>
    <row r="54" spans="3:10" ht="15.75" x14ac:dyDescent="0.25">
      <c r="E54" s="300" t="s">
        <v>9</v>
      </c>
      <c r="F54" s="301"/>
    </row>
    <row r="55" spans="3:10" x14ac:dyDescent="0.25">
      <c r="E55" s="33" t="s">
        <v>15</v>
      </c>
      <c r="F55" s="34">
        <f>IF('TM-21 Inputs'!I23="","",((COUNTIF(E6:E25,"&gt;"&amp;0)*H52-(E52*G52))/((COUNTIF(E6:E25,"&gt;"&amp;0)*I52)-(E52^2))))</f>
        <v>-2.7586001848447269E-6</v>
      </c>
    </row>
    <row r="56" spans="3:10" x14ac:dyDescent="0.25">
      <c r="E56" s="35" t="s">
        <v>16</v>
      </c>
      <c r="F56" s="36">
        <f>IF('TM-21 Inputs'!I23="","",(G52-(F55*E52))/COUNTIF(E6:E25,"&gt;"&amp;0))</f>
        <v>1.7163196120106976E-3</v>
      </c>
    </row>
    <row r="57" spans="3:10" x14ac:dyDescent="0.25">
      <c r="E57" s="37" t="s">
        <v>17</v>
      </c>
      <c r="F57" s="36">
        <f>IF('TM-21 Inputs'!I23="","",-F55)</f>
        <v>2.7586001848447269E-6</v>
      </c>
    </row>
    <row r="58" spans="3:10" x14ac:dyDescent="0.25">
      <c r="E58" s="35" t="s">
        <v>18</v>
      </c>
      <c r="F58" s="36">
        <f>IF('TM-21 Inputs'!I23="","",EXP(F56))</f>
        <v>1.00171779333152</v>
      </c>
    </row>
    <row r="59" spans="3:10" ht="30" customHeight="1" x14ac:dyDescent="0.25">
      <c r="E59" s="38" t="str">
        <f>CONCATENATE("Calculated L",'TM-21 Inputs'!I35," (hrs):")</f>
        <v>Calculated L90 (hrs):</v>
      </c>
      <c r="F59" s="39">
        <f>IF('TM-21 Inputs'!I23="","",ROUND((LN(F58/('TM-21 Inputs'!$I$35/100))/F57),-3))</f>
        <v>39000</v>
      </c>
    </row>
    <row r="60" spans="3:10" ht="30" customHeight="1" thickBot="1" x14ac:dyDescent="0.3">
      <c r="E60" s="40" t="str">
        <f>CONCATENATE("Reported L",'TM-21 Inputs'!I35," (hrs):")</f>
        <v>Reported L90 (hrs):</v>
      </c>
      <c r="F60" s="28">
        <f>IF('TM-21 Inputs'!I23="","",IF(OR(AND('TM-21 Inputs'!$I$18&gt;=20,$F$59&lt;6*'TM-21 Inputs'!$I$19),AND('TM-21 Inputs'!$I$18&gt;=10,'TM-21 Inputs'!$I$18&lt;=19,$F$59&lt;5.5*'TM-21 Inputs'!$I$19)),ROUND(F59,-3),IF('TM-21 Inputs'!$I$18&gt;=20,CONCATENATE("&gt;",ROUND((6*'TM-21 Inputs'!$I$19),-3)),IF(AND('TM-21 Inputs'!$I$18&gt;=10,'TM-21 Inputs'!$I$18&lt;=19),CONCATENATE("&gt;",ROUND((5.5*'TM-21 Inputs'!$I$19),-3)),"error"))))</f>
        <v>39000</v>
      </c>
    </row>
  </sheetData>
  <mergeCells count="2">
    <mergeCell ref="E54:F54"/>
    <mergeCell ref="C4:J4"/>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05.20.16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Kenan Chen</cp:lastModifiedBy>
  <cp:lastPrinted>2015-08-28T14:01:31Z</cp:lastPrinted>
  <dcterms:created xsi:type="dcterms:W3CDTF">2011-11-01T14:53:21Z</dcterms:created>
  <dcterms:modified xsi:type="dcterms:W3CDTF">2019-09-10T00:39:57Z</dcterms:modified>
</cp:coreProperties>
</file>